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76" windowWidth="11685" windowHeight="6180" tabRatio="603" activeTab="3"/>
  </bookViews>
  <sheets>
    <sheet name="งบแสดงฐานะการเงิน" sheetId="1" r:id="rId1"/>
    <sheet name="รับ-จ่ายประจำปี" sheetId="2" r:id="rId2"/>
    <sheet name="งบทดลองหลังปิดบัญชี" sheetId="3" r:id="rId3"/>
    <sheet name="เงินฝากธนาคาร หมายเหตุ 2" sheetId="4" r:id="rId4"/>
    <sheet name="งบแสดงฐานะการเงิน." sheetId="5" r:id="rId5"/>
    <sheet name="เงินรับฝาก หมายเหตุ 3" sheetId="6" r:id="rId6"/>
    <sheet name="งบเงินสะสม หมายเหตุ 6" sheetId="7" r:id="rId7"/>
    <sheet name="งบทรัพย์สิน หมายเหตุ1" sheetId="8" r:id="rId8"/>
    <sheet name="สรุปงบทรัพย์สิน " sheetId="9" r:id="rId9"/>
    <sheet name="งบทรัพย์สิน" sheetId="10" r:id="rId10"/>
    <sheet name="รายจ่ายค้างจ่าย หมายเหตุ 4 " sheetId="11" r:id="rId11"/>
    <sheet name="อุดหนุนค้างจ่าย หมายเหตุ4 " sheetId="12" r:id="rId12"/>
    <sheet name="สำรองเงินรายรับ หมายเหตุ5" sheetId="13" r:id="rId13"/>
    <sheet name="หมายเหตุ 6.1" sheetId="14" r:id="rId14"/>
    <sheet name="รายละเอียดแนบ 1" sheetId="15" r:id="rId15"/>
    <sheet name="ย่อยจากงบเงินสะสม " sheetId="16" r:id="rId16"/>
    <sheet name="รายจ่ายตามงานบริหารทั่วไป" sheetId="17" r:id="rId17"/>
    <sheet name="ความสงบภายใน" sheetId="18" r:id="rId18"/>
    <sheet name="การศึกษา" sheetId="19" r:id="rId19"/>
    <sheet name="สาธารณสุข" sheetId="20" r:id="rId20"/>
    <sheet name="สังคมสงเคราะห์" sheetId="21" r:id="rId21"/>
    <sheet name="เคหะและชุมชน" sheetId="22" r:id="rId22"/>
    <sheet name="สร้างความเข็มแข็งของชุมชน" sheetId="23" r:id="rId23"/>
    <sheet name="ศาสนา" sheetId="24" r:id="rId24"/>
    <sheet name="เกษตร" sheetId="25" r:id="rId25"/>
    <sheet name="งบกลาง" sheetId="26" r:id="rId26"/>
    <sheet name="งบแสดงผลการดำเนินงานรวม" sheetId="27" r:id="rId27"/>
    <sheet name="งบแสดงผลฯจากรายรับและเงินสะสม" sheetId="28" r:id="rId28"/>
    <sheet name="หมายเหตุ 1" sheetId="29" r:id="rId29"/>
    <sheet name="หมายเหตุ 2" sheetId="30" r:id="rId30"/>
    <sheet name="Sheet3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18">'การศึกษา'!$A:$IV</definedName>
    <definedName name="_xlnm.Print_Area" localSheetId="9">'งบทรัพย์สิน'!$A$1:$H$212</definedName>
    <definedName name="_xlnm.Print_Titles" localSheetId="9">'งบทรัพย์สิน'!$1:$6</definedName>
    <definedName name="_xlnm.Print_Titles" localSheetId="7">'งบทรัพย์สิน หมายเหตุ1'!$6:$6</definedName>
    <definedName name="_xlnm.Print_Titles" localSheetId="15">'ย่อยจากงบเงินสะสม '!$5:$6</definedName>
    <definedName name="_xlnm.Print_Titles" localSheetId="8">'สรุปงบทรัพย์สิน '!$5:$5</definedName>
  </definedNames>
  <calcPr fullCalcOnLoad="1"/>
</workbook>
</file>

<file path=xl/sharedStrings.xml><?xml version="1.0" encoding="utf-8"?>
<sst xmlns="http://schemas.openxmlformats.org/spreadsheetml/2006/main" count="1505" uniqueCount="690">
  <si>
    <r>
      <t xml:space="preserve">ก.   </t>
    </r>
    <r>
      <rPr>
        <b/>
        <u val="single"/>
        <sz val="13"/>
        <rFont val="Angsana New"/>
        <family val="1"/>
      </rPr>
      <t>อสังหาริมทรัพย์</t>
    </r>
  </si>
  <si>
    <r>
      <t xml:space="preserve">ข.   </t>
    </r>
    <r>
      <rPr>
        <b/>
        <u val="single"/>
        <sz val="13"/>
        <rFont val="Angsana New"/>
        <family val="1"/>
      </rPr>
      <t>สังหาริมทรัพย์</t>
    </r>
  </si>
  <si>
    <t>งบแสดงฐานะการเงิน</t>
  </si>
  <si>
    <t>ทรัพย์สิน</t>
  </si>
  <si>
    <t>เงินฝาก  -  เงินทุนส่งเสริมกิจการเทศบาล  (ก.ส.ท.)</t>
  </si>
  <si>
    <t>-</t>
  </si>
  <si>
    <t>เงินฝากธนาคาร</t>
  </si>
  <si>
    <t>กรุงไทย</t>
  </si>
  <si>
    <t>วันที่</t>
  </si>
  <si>
    <t>งบเงินสะสม</t>
  </si>
  <si>
    <t xml:space="preserve"> </t>
  </si>
  <si>
    <t>รวม</t>
  </si>
  <si>
    <t>เงินรับฝาก</t>
  </si>
  <si>
    <t>(หมายเหตุ    4)</t>
  </si>
  <si>
    <t>ภาษีหัก  ณ  ที่จ่าย</t>
  </si>
  <si>
    <t>ก.  รายได้ของเทศบาล</t>
  </si>
  <si>
    <t>เงินประกันสัญญา</t>
  </si>
  <si>
    <t>ค่าใช้จ่ายภาษีบำรุงท้องที่  5%</t>
  </si>
  <si>
    <t>หนี้สินและเงินสะสม</t>
  </si>
  <si>
    <t xml:space="preserve">เงินสด </t>
  </si>
  <si>
    <t>หมายเหตุ   ประกอบงบแสดงฐานะการเงิน</t>
  </si>
  <si>
    <t>รายการ</t>
  </si>
  <si>
    <t>ประมาณการ</t>
  </si>
  <si>
    <t>งานบริหารทั่วไป</t>
  </si>
  <si>
    <t>งานวางแผนสถิติ</t>
  </si>
  <si>
    <t>งานบริหารงานคลัง</t>
  </si>
  <si>
    <t>และวิชาการ</t>
  </si>
  <si>
    <t>รายจ่าย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</si>
  <si>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</si>
  <si>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</si>
  <si>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</si>
  <si>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</si>
  <si>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</si>
  <si>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ค่าสาธารณูปโภค</t>
  </si>
  <si>
    <t>เงินอุดหนุน</t>
  </si>
  <si>
    <t>รายจ่ายอื่น</t>
  </si>
  <si>
    <t>งบกลาง</t>
  </si>
  <si>
    <t>ค่าครุภัณฑ์(หมายเหตุ 1)</t>
  </si>
  <si>
    <t>ค่าที่ดินและสิ่งก่อสร้าง(หมายเหตุ2)</t>
  </si>
  <si>
    <t>รายรับ</t>
  </si>
  <si>
    <t>…………………………………………..</t>
  </si>
  <si>
    <t xml:space="preserve">หมายเหตุ       </t>
  </si>
  <si>
    <t>รายจ่ายหมวดใดที่จ่ายจากเงินอุดหนุนทั่วไปให้ ( ท )  ไว้ท้ายหมวดรายจ่าย</t>
  </si>
  <si>
    <t>รายจ่ายที่จ่ายจากเงินอุดหนุนเฉพาะกิจให้  ( ก ) ไว้ท้ายหมวดรายจ่าย</t>
  </si>
  <si>
    <t>งานบริหารทั่วไปทั่วไปเกี่ยวกับ</t>
  </si>
  <si>
    <t>งานเทศกิจ</t>
  </si>
  <si>
    <t>งานป้องกันภัยฝ่าย</t>
  </si>
  <si>
    <t>การรักษาความสงบภายใน</t>
  </si>
  <si>
    <t>พลเรือนและระงับอัคคีภัย</t>
  </si>
  <si>
    <t xml:space="preserve">ค่าวัสดุ </t>
  </si>
  <si>
    <t>งานระดับก่อนวัยเรียน</t>
  </si>
  <si>
    <t>งานระดับ</t>
  </si>
  <si>
    <t>งานศึกษาไม่กำหนด</t>
  </si>
  <si>
    <t>เกี่ยวกับการศึกษา</t>
  </si>
  <si>
    <t>และประถมศึกษา</t>
  </si>
  <si>
    <t>มัธยมศึกษา</t>
  </si>
  <si>
    <t>ระดับ</t>
  </si>
  <si>
    <t xml:space="preserve">ค่าใช้สอย           </t>
  </si>
  <si>
    <t xml:space="preserve">ค่าวัสดุ                </t>
  </si>
  <si>
    <t>งานโรงพยาบาล</t>
  </si>
  <si>
    <t>งานบริการสาธารณสุข</t>
  </si>
  <si>
    <t>งานศูนย์บริการ</t>
  </si>
  <si>
    <t>เกี่ยวกับการสาธารณสุข</t>
  </si>
  <si>
    <t>และงานสาธารณสุขอื่น</t>
  </si>
  <si>
    <t>สาธารณสุข</t>
  </si>
  <si>
    <t>งานไฟฟ้าถนน</t>
  </si>
  <si>
    <t>งานสวนสาธารณะ</t>
  </si>
  <si>
    <t>งานกำจัดขยะมูลฝอย</t>
  </si>
  <si>
    <t>งานบำบัด</t>
  </si>
  <si>
    <t>และสิ่งปฏิกูล</t>
  </si>
  <si>
    <t>น้ำเสีย</t>
  </si>
  <si>
    <t>งานส่งเสริมและสนับสนุน</t>
  </si>
  <si>
    <t>ความเข็มแข็งชุมชน</t>
  </si>
  <si>
    <t>งานกีฬาและ</t>
  </si>
  <si>
    <t>งานศาสนา</t>
  </si>
  <si>
    <t>งานวิชาการวางแผน</t>
  </si>
  <si>
    <t xml:space="preserve">เกี่ยวกับการศาสนา ฯ </t>
  </si>
  <si>
    <t>นันทนาการ</t>
  </si>
  <si>
    <t>วัฒนธรรมท้องถิ่น</t>
  </si>
  <si>
    <t>และส่งเสริมการท่องเที่ยว</t>
  </si>
  <si>
    <t>งานส่งเสริมการเกษตร</t>
  </si>
  <si>
    <t>งานอนุรักษ์แหล่งน้ำ</t>
  </si>
  <si>
    <t>และป่าไม้</t>
  </si>
  <si>
    <t>รายงานรายจ่ายในการดำเนินงานที่จ่ายจากเงินรายรับตามแผนงาน…งบกลาง….</t>
  </si>
  <si>
    <t>………………………………………</t>
  </si>
  <si>
    <t>งบแสดงผลการดำเนินงานจ่ายจากเงินรายรับ</t>
  </si>
  <si>
    <t>บริหารงาน</t>
  </si>
  <si>
    <t>การศึกษา</t>
  </si>
  <si>
    <t>สังคม</t>
  </si>
  <si>
    <t>เคหะ</t>
  </si>
  <si>
    <t>สร้างความ</t>
  </si>
  <si>
    <t>การศาสนา</t>
  </si>
  <si>
    <t>อุตสาหกรรม</t>
  </si>
  <si>
    <t>ทั่วไป</t>
  </si>
  <si>
    <t>ความสงบ</t>
  </si>
  <si>
    <t>สงเคราะห์</t>
  </si>
  <si>
    <t>และชุมชน</t>
  </si>
  <si>
    <t>เข้มแข็งของ</t>
  </si>
  <si>
    <t>วัฒนธรรมและ</t>
  </si>
  <si>
    <t>และการโยธา</t>
  </si>
  <si>
    <t>ภายใน</t>
  </si>
  <si>
    <t>ชุมชน</t>
  </si>
  <si>
    <t>ค่าวัสดุ</t>
  </si>
  <si>
    <t>ค่าครุภัณฑ์ (หมายเหตุ 1)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</si>
  <si>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</si>
  <si>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</si>
  <si>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</si>
  <si>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</si>
  <si>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</si>
  <si>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</si>
  <si>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</si>
  <si>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</si>
  <si>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รายรับสูงกว่าหรือ (ต่ำกว่า)รายจ่าย</t>
  </si>
  <si>
    <t>งบแสดงผลการดำเนินงานจ่ายจากเงินรายรับและเงินสะสม</t>
  </si>
  <si>
    <t>รายได้สาธารณูปโภค</t>
  </si>
  <si>
    <t>รายจ่ายค้างจ่าย</t>
  </si>
  <si>
    <t>หมวด/ประเภท</t>
  </si>
  <si>
    <t>จำนวนเงิน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</si>
  <si>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</si>
  <si>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</si>
  <si>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</si>
  <si>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</si>
  <si>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</si>
  <si>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หมวดค่าที่ดินและสิ่งก่อสร้าง</t>
  </si>
  <si>
    <t>รายงานรายจ่ายในการดำเนินงานที่จ่ายจากเงินรายรับตามแผนงาน…เคหะและชุมชน….(00240)</t>
  </si>
  <si>
    <t>รายงานรายจ่ายในการดำเนินงานที่จ่ายจากเงินรายรับตามแผนงาน…การศาสนาวัฒนธรรมและนันทนาการ….(00260)</t>
  </si>
  <si>
    <t>ค่าที่ดินและสิ่งก่อสร้าง(หมายเหตุ2)(ท)</t>
  </si>
  <si>
    <t>การรักษา</t>
  </si>
  <si>
    <t>งบทรัพย์สิน</t>
  </si>
  <si>
    <t>ประเภท</t>
  </si>
  <si>
    <t>ราคาทรัพย์สิน</t>
  </si>
  <si>
    <t>แหล่งที่มาของทรัพย์สิน</t>
  </si>
  <si>
    <t>ชื่อ</t>
  </si>
  <si>
    <t>รายได้</t>
  </si>
  <si>
    <t>ประเภททรัพย์สิน</t>
  </si>
  <si>
    <t>ยกมาจากงวดก่อน</t>
  </si>
  <si>
    <t>รับเพิ่มงวดนี้</t>
  </si>
  <si>
    <t>จำหน่ายบัญชีงวดนี้</t>
  </si>
  <si>
    <t>ยกไปงวดหน้า</t>
  </si>
  <si>
    <t>ทรัพย์สินเกิดจาก</t>
  </si>
  <si>
    <t>2. เครื่องมือเครื่องใช้และอุปกรณ์</t>
  </si>
  <si>
    <t>ก. ในการดับเพลิง</t>
  </si>
  <si>
    <t>ข. ในการโยธา</t>
  </si>
  <si>
    <t>ค. ในการสาธารณสุข</t>
  </si>
  <si>
    <t>ง. ในการประชาสัมพันธ์</t>
  </si>
  <si>
    <t>จ. อื่น ๆ</t>
  </si>
  <si>
    <t>3. เครื่องใช้สำนักงาน</t>
  </si>
  <si>
    <t>รายงานรายจ่ายในการดำเนินงานที่จ่ายจากเงินรายรับตามแผนงาน…การเกษตร….(00320)</t>
  </si>
  <si>
    <t>รายงานรายจ่ายในการดำเนินงานที่จ่ายจากเงินรายรับตามแผนงาน…งานบริหารทั่วไป….(00110)</t>
  </si>
  <si>
    <t>รายงานรายจ่ายในการดำเนินงานที่จ่ายจากเงินรายรับตามแผนงาน…การรักษาความสงบภายใน….(00120)</t>
  </si>
  <si>
    <t>รายงานรายจ่ายในการดำเนินงานที่จ่ายจากเงินรายรับตามแผนงาน…การศึกษา….(00210)</t>
  </si>
  <si>
    <t>รายงานรายจ่ายในการดำเนินงานที่จ่ายจากเงินรายรับตามแผนงาน…การสาธารณสุข….(00220)</t>
  </si>
  <si>
    <t>รายงานรายจ่ายในการดำเนินงานที่จ่ายจากเงินรายรับตามแผนงาน…สร้างความเข็มแข็งของชุมชน….(00250)</t>
  </si>
  <si>
    <t>เทศบาลตำบลบ้านหมอ</t>
  </si>
  <si>
    <t>ค่าที่ดินและสิ่งก่อสร้าง</t>
  </si>
  <si>
    <t>รายงานรายจ่ายในการดำเนินงานที่จ่ายจากเงินรายรับตามแผนงาน…สังคมสงเคราะห์….(00230)</t>
  </si>
  <si>
    <t>เกี่ยวกับสังคมสงเคราะห์</t>
  </si>
  <si>
    <t>งานสวัสดิการสังคม</t>
  </si>
  <si>
    <t>และสังคมสงเคราะห์</t>
  </si>
  <si>
    <t>สำนักงานเทศบาลตำบลบ้านหมอ</t>
  </si>
  <si>
    <t>ค่าที่ดินและสิ่งก่อสร้าง(หมายเหตุ 2)</t>
  </si>
  <si>
    <t>รายงานรายจ่ายที่ได้รับอนุมัติให้จ่ายจากเงินสะสม</t>
  </si>
  <si>
    <t>หมายเหตุ  8.1</t>
  </si>
  <si>
    <t>วันที่ได้รับอนุมัติ</t>
  </si>
  <si>
    <t>จำนวนเงินที่ได้รับอนุมัติ</t>
  </si>
  <si>
    <t>จ่ายขาด</t>
  </si>
  <si>
    <t>ยืมเงินสะสม</t>
  </si>
  <si>
    <t>คงเหลือเบิกจ่าย</t>
  </si>
  <si>
    <t>ยังไม่ได้ก่อหนี้</t>
  </si>
  <si>
    <t>เงินทุนสำรองเงินสะสม</t>
  </si>
  <si>
    <t>การ</t>
  </si>
  <si>
    <t>เกษตร</t>
  </si>
  <si>
    <t>พาณิชย์</t>
  </si>
  <si>
    <t>ค่าที่ดินและสิ่งก่อสร้าง (หมายเหตุ 2)</t>
  </si>
  <si>
    <t>ข.  กระทรวงมหาดไทยอุดหนุน</t>
  </si>
  <si>
    <t>1.  ยานพาหนะ</t>
  </si>
  <si>
    <t>4. เครื่องยนต์</t>
  </si>
  <si>
    <t>(นางสาวลำพาย     ผลทับทิม)                                                       (นายสุพล     เรืองฤทธิ์)                                               (นายสุทธิชัย     วงษ์ไพร)</t>
  </si>
  <si>
    <r>
      <t xml:space="preserve">ก.  </t>
    </r>
    <r>
      <rPr>
        <b/>
        <u val="single"/>
        <sz val="14"/>
        <rFont val="Angsana New"/>
        <family val="1"/>
      </rPr>
      <t>อสังหาริมทรัพย์</t>
    </r>
  </si>
  <si>
    <r>
      <t xml:space="preserve">ข.  </t>
    </r>
    <r>
      <rPr>
        <b/>
        <u val="single"/>
        <sz val="14"/>
        <rFont val="Angsana New"/>
        <family val="1"/>
      </rPr>
      <t>สังหาริมทรัพย์</t>
    </r>
  </si>
  <si>
    <r>
      <t xml:space="preserve">1.  </t>
    </r>
    <r>
      <rPr>
        <b/>
        <u val="single"/>
        <sz val="14"/>
        <rFont val="Angsana New"/>
        <family val="1"/>
      </rPr>
      <t>ยานพาหนะ</t>
    </r>
  </si>
  <si>
    <r>
      <t xml:space="preserve">2. </t>
    </r>
    <r>
      <rPr>
        <b/>
        <u val="single"/>
        <sz val="14"/>
        <rFont val="Angsana New"/>
        <family val="1"/>
      </rPr>
      <t>เครื่องมือเครื่องใช้และอุปกรณ์</t>
    </r>
  </si>
  <si>
    <t xml:space="preserve">            </t>
  </si>
  <si>
    <t>ธ.ก.ส.</t>
  </si>
  <si>
    <t>หมวดค่าใช้สอย</t>
  </si>
  <si>
    <t>หมวดค่าวัสดุ</t>
  </si>
  <si>
    <t>อุดหนุนระบุวัตถุประสงค์</t>
  </si>
  <si>
    <t>จ่ายขาดเงินสะสม</t>
  </si>
  <si>
    <t xml:space="preserve"> - สิงโตทะเลสปริง</t>
  </si>
  <si>
    <t xml:space="preserve"> - คอปเตอร์ต่างดาวสปริง</t>
  </si>
  <si>
    <t xml:space="preserve">     </t>
  </si>
  <si>
    <t xml:space="preserve"> 14 ส.ค. 2550</t>
  </si>
  <si>
    <t xml:space="preserve"> - ค่าจ้างเหมาตรวจย้ายแนวท่อประปา</t>
  </si>
  <si>
    <t xml:space="preserve"> - ก่อสร้างรางระบายน้ำ คสล. ฯ ถนนเทศบาล 1</t>
  </si>
  <si>
    <t xml:space="preserve"> - ก่อสร้างรางระบายน้ำ คสล. ฯ ถนนเทศบาล 3</t>
  </si>
  <si>
    <t xml:space="preserve"> - ก่อสร้างปูพื้น คสล. ปูกระเบื้องยาง สนามเด็กเล่น</t>
  </si>
  <si>
    <t>ตั้งแต่วันที่  1  ตุลาคม  2550  ถึง  30  กันยายน  2551</t>
  </si>
  <si>
    <t xml:space="preserve"> รับเพิ่ม ปีงบประมาณ  2551</t>
  </si>
  <si>
    <t>พื้นเวที ประตูและห้องน้ำ</t>
  </si>
  <si>
    <t>กระเบื้องลอนคู่ ขนาดกว้าง 7.5 เมตร ยาว 12.00 เมตร</t>
  </si>
  <si>
    <t>จำนวน 5 ป้าย @ 17,577  บาท</t>
  </si>
  <si>
    <t>เหล็กคลุมด้วยผ้าใบ</t>
  </si>
  <si>
    <t xml:space="preserve">บริเวณชุมชนย่อยในเขตเทศบาล </t>
  </si>
  <si>
    <t xml:space="preserve">ข้ามคลองเริงราง สุดเขตเทศบาลไปทาง ม.1 </t>
  </si>
  <si>
    <t>ม. 2 ต. โคกใหญ่</t>
  </si>
  <si>
    <t xml:space="preserve"> - ปรับปรุงศาลาประชาคมเทศบาลตำบลบ้านหมอ โดยปรับปรุง</t>
  </si>
  <si>
    <t xml:space="preserve"> - ก่อสร้างหลังคาสนามเด็กเล่น ศูนย์พัฒนาเด็กเล็ก แบบมุง</t>
  </si>
  <si>
    <t xml:space="preserve"> - ต่อเติมอาคารสำนักงาน เชื่อต่อศาลาประชาคม</t>
  </si>
  <si>
    <t xml:space="preserve"> - ป้ายประชาสัมพันธ์แบบเหล็ก ในเขตเทศบาลตำบลบ้านหมอ</t>
  </si>
  <si>
    <t xml:space="preserve"> - เวทีแบบโครงเหล็กพื้นไม้ พร้อมหลังคาคลุมแบบโครงสร้าง</t>
  </si>
  <si>
    <t xml:space="preserve"> - ซุ้มประตูแบบไม้แกะสลัก บริเวณถนนเทศบาล 1 ม 5</t>
  </si>
  <si>
    <t xml:space="preserve"> - ปรับปรุงซ่อมแซมระบบเสียงตามสาย และติดตั้งอุปกรณ์</t>
  </si>
  <si>
    <t xml:space="preserve"> - ซุ้มประตูโครงถักเหล็ก บริเวณถนนก่อนถึงบล็อคคอนเวิสน์</t>
  </si>
  <si>
    <t xml:space="preserve"> - ซุ้มประตูโครงถักเหล็ก บริเวณถนนเลียบคลองเริงราง</t>
  </si>
  <si>
    <t xml:space="preserve"> - ซุ้มประตูโครงถักเหล็ก บริเวณถนนเทศบาล 2</t>
  </si>
  <si>
    <t xml:space="preserve"> - ซุ้มประตูโครงถักเหล้ก บริเวณสุดเขตหมู่ที่ 9</t>
  </si>
  <si>
    <t>1.  ศาลาประชาคม</t>
  </si>
  <si>
    <t>2.  ศูนย์พัฒนาเด็กเล็ก</t>
  </si>
  <si>
    <t>3.  อาคารสำนักงาน</t>
  </si>
  <si>
    <t>4.  ป้ายประชาสัมพันธ์</t>
  </si>
  <si>
    <t>5.  เวทีแบบโครงเหล็ก</t>
  </si>
  <si>
    <t>6.  ซุ้มประตู</t>
  </si>
  <si>
    <t>7.  ซ่อมแซมเครื่องเสียง</t>
  </si>
  <si>
    <t>8.  ซุ้มประตู</t>
  </si>
  <si>
    <t>9.  ซุ้มประตู</t>
  </si>
  <si>
    <t>10.  ซุ้มประตู</t>
  </si>
  <si>
    <t>11.  ซุ้มประตู</t>
  </si>
  <si>
    <t>1.  รถยนต์บรรทุกขยะ</t>
  </si>
  <si>
    <t xml:space="preserve"> - รถยนต์บรรทุกขยะมูลฝอย แบบอัดท้าย ขนาด 6 ล้อ </t>
  </si>
  <si>
    <t>ความจุตู้ไม่น้อยกว่า 5 ลูกบาศก์เมตร เครื่องยนต์ ดีเซล 4 สูบ</t>
  </si>
  <si>
    <t xml:space="preserve"> 4 จังหวะ มีกำลังไม่น้อยกว่า 115 แรงม้า ทำงานโดยระบบ</t>
  </si>
  <si>
    <t>ไฮโดรลิค Mitsubishi  รุ่น FE 649 E 6 หมายเลขเครื่อง</t>
  </si>
  <si>
    <t>4 D34-ka 0809 หมายเลขตัวรถ MMTEE 649 NXC000909</t>
  </si>
  <si>
    <t xml:space="preserve">สีเหลือง </t>
  </si>
  <si>
    <t>1.  เครื่องกำเนิดไฟ</t>
  </si>
  <si>
    <t>2.  หัวฉัดน้ำดับเพลิง</t>
  </si>
  <si>
    <t>3.  เครื่องไดโว่</t>
  </si>
  <si>
    <t xml:space="preserve"> - เครื่องกำเนิดไฟฟ้าชนดเครื่องยนต์เบนซิน ขนาด 6 แรงม้า</t>
  </si>
  <si>
    <t>ไฟฟ้าอัตโนมัติ</t>
  </si>
  <si>
    <t xml:space="preserve"> - สายไฟชนิดกลมสีดำ ความยาว 20 เมตร พร้อมล้อเก็บสาย</t>
  </si>
  <si>
    <t xml:space="preserve"> - หัวฉีดน้ำดับเพลิงแบบด้ามปืนใช้ฉีดน้ำเป็นลำตรง หรือ</t>
  </si>
  <si>
    <t>ปรับฉีดเป็นฝอยและม่านน้ำได้ ยี่ห้อ โฟรเทค @ 3,5000 บาท</t>
  </si>
  <si>
    <t xml:space="preserve"> - เครื่องไดโว่สูบน้ำ ขนาด 2 นิ้ว 4 เครื่อง ๆ ละ 5,000 บาท</t>
  </si>
  <si>
    <t xml:space="preserve"> - โคมไฟฟ้าส่องสว่างขนาด 500 วัตต์ 2 ดวง </t>
  </si>
  <si>
    <t>ประกอบไดนาโม ขนาด 3 กิโลวัตต์ มีเครื่องควบคุมแรงดัน</t>
  </si>
  <si>
    <t>1.  รถเข็นแบบใหญ่</t>
  </si>
  <si>
    <t>รถเข็นแบบใหญ่ 15 ปีบ  3 คัน ๆ ละ 2,800 บาท</t>
  </si>
  <si>
    <t>1.  เครื่องตัดคอนกรีต</t>
  </si>
  <si>
    <t>2.  ตู้ชาร์ทแบตเตอร์รี่</t>
  </si>
  <si>
    <t>3.  แม่แรง</t>
  </si>
  <si>
    <t xml:space="preserve"> - เครื่องตัดคอนกรีต 14 นิ้ว Dynamic </t>
  </si>
  <si>
    <t xml:space="preserve"> - เครื่องยนต์ Gx 270 TGT 19 HP Honda </t>
  </si>
  <si>
    <t xml:space="preserve"> - ตู้ชาร์ทแบตเตอร์รี่</t>
  </si>
  <si>
    <t xml:space="preserve"> - แม่แรงตะเข้ ขนาด 2 ตัน</t>
  </si>
  <si>
    <t xml:space="preserve"> - แม่แรงตะเข้ ขนาด 3 ตัน</t>
  </si>
  <si>
    <t>1.  เครื่องออกกำลังกาย</t>
  </si>
  <si>
    <t xml:space="preserve"> - อุปกรณ์บิดเอว และเดิน</t>
  </si>
  <si>
    <t xml:space="preserve"> - แผ่นป้ายสแตนเลสแสดงวิธีใช้ ขนาด 35*27  ซ.ม 1 แผ่น</t>
  </si>
  <si>
    <t xml:space="preserve"> - พื้นยางกันกระแทก หนา 2 ซ.ม ขนาด 200*200 ซ.ม 4 ตรม.</t>
  </si>
  <si>
    <t xml:space="preserve"> - อุปกรณ์บริหารหัวไหล่</t>
  </si>
  <si>
    <t xml:space="preserve"> - พื้นยางกันกระแทก หนา 2 ซ.ม ขนาด 200*300 ซ.ม 6 ตรม.</t>
  </si>
  <si>
    <t xml:space="preserve"> - อุปกรณ์ลูกตุ้มแกว่งตัว</t>
  </si>
  <si>
    <t xml:space="preserve"> - พื้นยางกันกระแทก หนา 2 ซ.ม ขนาด 300*300 ซ.ม 9 ตรม.</t>
  </si>
  <si>
    <t xml:space="preserve"> - อุปกรณ์พายเรือคู่</t>
  </si>
  <si>
    <t xml:space="preserve"> - อุปกรณ์ก้าวเดินแบบช้า</t>
  </si>
  <si>
    <t xml:space="preserve"> - อุปกรณ์เดินคู่</t>
  </si>
  <si>
    <t xml:space="preserve"> - พื้นยางกันกระแทก หนา 2 ซ.ม ขนาด 200*350 ซ.ม 7 ตรม.</t>
  </si>
  <si>
    <t xml:space="preserve"> - อุปกรณ์บิดเอว 4 ชุด</t>
  </si>
  <si>
    <t xml:space="preserve"> - อุปกรณ์นวดหลัง</t>
  </si>
  <si>
    <t xml:space="preserve"> - อุปกรณ์ล้อหมุนบริหารไหล่</t>
  </si>
  <si>
    <t xml:space="preserve"> - อุปกรณ์วงล้อหมุน</t>
  </si>
  <si>
    <t xml:space="preserve"> - อุปกรณ์ถังกลิ้ง</t>
  </si>
  <si>
    <t xml:space="preserve"> - อุปกรณ์วิ่งแบบวงรี</t>
  </si>
  <si>
    <t xml:space="preserve"> - อุปกรณ์เดินคู่ </t>
  </si>
  <si>
    <t xml:space="preserve"> - พื้นยางกันกระแทก หนา 2 ซ.ม ขนาด 200*350 ซ.ม 9 ตรม.</t>
  </si>
  <si>
    <t xml:space="preserve"> - อุปกรณ์กรรเชียงบก</t>
  </si>
  <si>
    <t xml:space="preserve"> - อุปกรณ์บริหารหัวไหล่ และหน้าอก</t>
  </si>
  <si>
    <t xml:space="preserve"> - พื้นยางกันกระแทก หนา 2 ซ.ม ขนาด 200*250 ซ.ม 5 ตรม.</t>
  </si>
  <si>
    <t xml:space="preserve"> - อุปกรณ์ก้าวเดินสลับเท้า</t>
  </si>
  <si>
    <t xml:space="preserve"> - อุปกรณ์เอนปั่นจักรยาน</t>
  </si>
  <si>
    <t>2.  เครื่องออกกำลังกาย</t>
  </si>
  <si>
    <t xml:space="preserve"> - จักรยานนั่งพิง  Dimondback 860 RB</t>
  </si>
  <si>
    <t xml:space="preserve"> - เครื่องเดินวงรี Dimondback 460 EF</t>
  </si>
  <si>
    <t xml:space="preserve"> - ดัมเบลล์ชุบโครเมี่ยมพร้อมชั้นวาง</t>
  </si>
  <si>
    <t xml:space="preserve"> - ม้าราบฝึกดัมเบลล์</t>
  </si>
  <si>
    <t xml:space="preserve"> - ลู่วิ่งไฟฟ้า Motion Fitness 8621 2 ชุด ๆ ละ 205,000</t>
  </si>
  <si>
    <t xml:space="preserve"> - ชุดฝึกกล้ามเนื้อรวม 6 สถานี (X-Press Pro)</t>
  </si>
  <si>
    <t>1. เครื่องดนตรี</t>
  </si>
  <si>
    <t xml:space="preserve"> - คีย์บอร์ด 4 เครื่อง ๆ ละ 3,500 บาท</t>
  </si>
  <si>
    <t xml:space="preserve"> - สายสะพายคีย์บอร์ด 4 เส้น ๆ ละ 100 บาท</t>
  </si>
  <si>
    <t xml:space="preserve"> - เครื่องขยายเสียงแบบสะพาย 4 เครื่อง ๆ ละ 2,500 บาท</t>
  </si>
  <si>
    <t xml:space="preserve"> - แบตเตอรี่แห้ง 2 ลูก ๆ ละ 600 บาท</t>
  </si>
  <si>
    <t xml:space="preserve"> - สายสัญญาณ 8 เส้น ๆ ละ 100 บาท</t>
  </si>
  <si>
    <t xml:space="preserve"> - ตัวแปลงไฟ 4 ชุด ๆ ละ 100 บาท </t>
  </si>
  <si>
    <t xml:space="preserve"> - กลองชุด 1 ชุด ๆ ละ 9,500 บาท</t>
  </si>
  <si>
    <t xml:space="preserve"> - ไม้ตีกลองชุด 2 คู่ ๆ 60 บาท</t>
  </si>
  <si>
    <t xml:space="preserve"> - กลองบองโก้ 1 ชุด ๆ ละ 2,900 บาท</t>
  </si>
  <si>
    <t xml:space="preserve"> - แทมมารีน 4 อัน ๆ ละ 250 บาท</t>
  </si>
  <si>
    <t xml:space="preserve"> - ลูกซัค 2 คู่ ๆ ละ 195 บาท</t>
  </si>
  <si>
    <t xml:space="preserve"> - กลองทอมบ้า 1 ชุด ๆ ละ 3,500 บาท</t>
  </si>
  <si>
    <t xml:space="preserve"> - ยู เอส บี ไดร์ฟ 160 GB 1 อัน</t>
  </si>
  <si>
    <t xml:space="preserve"> - เครื่อง Printer Esson cx 5500 พร้อม TANK </t>
  </si>
  <si>
    <t xml:space="preserve"> - กล้องโทรทัศน์สีชนิดตั้งคงที่ พร้อมเลนท์ 16 กล้อง</t>
  </si>
  <si>
    <t xml:space="preserve"> - อุปกรณ์บันทึกภาพแบบดิจิตอล 1 เครื่อง</t>
  </si>
  <si>
    <t xml:space="preserve"> - กล่องหุ้มกล้องวงจรปิด 16 ชิ้น</t>
  </si>
  <si>
    <t xml:space="preserve"> - พัดลมติดเพดาน 56นิ้ว ยี่ห้อ SAKURA 3 ชุด ๆ ละ1,250 บาท</t>
  </si>
  <si>
    <t xml:space="preserve"> - พัดลมติดเพดาน 56นิ้ว ยี่ห้อ Mitsubishi 7 ชุด ๆ ละ1,250 บาท</t>
  </si>
  <si>
    <t xml:space="preserve"> - พัดลมตั้งพื้น 3 ขา ขนาด 24 นิ้ว 5 ตัว ๆ ละ 2,996  บาท</t>
  </si>
  <si>
    <t xml:space="preserve"> - พัดลม 48 นิ้ว พร้อมอุปกรณ์ติดตั้ง 2 ชุด ๆ ละ 2,996 บาท</t>
  </si>
  <si>
    <t xml:space="preserve"> - เครื่องถ่ายเอกสารระบบดิจิตอล ยี่ห้อ SHARP รุ่น 16 แผ่น/</t>
  </si>
  <si>
    <t xml:space="preserve">นาที  พร้อมปริ้นเตอร์ให้กับคอมพิวเตอร์ หมายเลขเครื่อง </t>
  </si>
  <si>
    <t>ห้องที่ 1 ม่านบังแดด ขนาด 320 * 145 ซ.ม</t>
  </si>
  <si>
    <t xml:space="preserve">            ม่านบังแดด ขนาด 170 * 145 ซ.ม</t>
  </si>
  <si>
    <t xml:space="preserve">            ม่านบังแดด ขนาด 280 * 180 ซ.ม</t>
  </si>
  <si>
    <t xml:space="preserve">            ม่านบังแดด ขนาด  90 * 60 ซ.ม</t>
  </si>
  <si>
    <t xml:space="preserve">            ม่านบังแดด ขนาด 66 * 184 ซ.ม</t>
  </si>
  <si>
    <t>ห้องที่ 2 ม่านบังแดด ขนาด 320 * 145 ซ.ม</t>
  </si>
  <si>
    <t xml:space="preserve">            ม่านบังแดด ขนาด 290 * 180 ซ.ม</t>
  </si>
  <si>
    <t xml:space="preserve">            ม่านบังแดด ขนาด 90 * 60 ซ.ม</t>
  </si>
  <si>
    <t>ห้องที่ 3 ม่านบังแดด ขนาด 320 * 145 ซ.ม</t>
  </si>
  <si>
    <t>ห้องที่ 4 ม่านบังแดด ขนาด 320 * 145 ซ.ม</t>
  </si>
  <si>
    <t>ด้านนอก  ม่านบังแดด ขนาด 170 * 145 ซ.ม</t>
  </si>
  <si>
    <t xml:space="preserve">               ม่านบังแดด ขนาด 170 * 145 ซ.ม</t>
  </si>
  <si>
    <t xml:space="preserve"> - เครื่องปรับอากาศระบบไอน้ำ ขนาด 0.62*0.44*1.17 เมตร</t>
  </si>
  <si>
    <t>(M-Kool Air Couler รุ่น MKF-35) 4 เครื่อง ๆ ละ 9,500 บาท</t>
  </si>
  <si>
    <t xml:space="preserve"> - เครื่องคอมพิวเตอร์ ยี่ห้อ Lemel Core 2 Duo Produceseror </t>
  </si>
  <si>
    <t xml:space="preserve">E 4700 เครื่องปริ้นเตอร์มัลติฟังก์ชั่นระบบเลเซอร์ </t>
  </si>
  <si>
    <t>Brother Dcp 7010  เครื่องสำรองไฟฟ้า UPS 1000 Ava</t>
  </si>
  <si>
    <t>สเตเบิ้ลลาย N 73 โต๊ะคอมพิวเตอร์</t>
  </si>
  <si>
    <t xml:space="preserve"> - ตู้โชว์ดาวไลท์กระจก ชุดละ 5,500 2 ชุด</t>
  </si>
  <si>
    <t xml:space="preserve"> - เครื่องปรับอากาศแบบติดผนัง ขนาด 12,000 บีทียู เครื่องละ</t>
  </si>
  <si>
    <t>24,900 บาท 4 เครื่อง</t>
  </si>
  <si>
    <t xml:space="preserve">เครื่องปรับอากาศ เครื่องๆ ละ 20,000 บาท 4 เครื่อง </t>
  </si>
  <si>
    <t>พัดลมดูดอากาศพร้อมอุปกรณ์ เครื่องๆ ละ 1,200 บาท 4 เครื่อง</t>
  </si>
  <si>
    <t>ค่าติดตั้งเครื่องปรับอากาศ เครื่องละ 3,000 บาท 4 เครื่อง</t>
  </si>
  <si>
    <t>ค่าติด่ตั้งพัดลมดูดอากาศ เครื่องๆ ละ 700 บาท 4 เครื่อง</t>
  </si>
  <si>
    <t>เครื่องละ 34,000 บาท</t>
  </si>
  <si>
    <t>3.  ยู เอส บี ไดร์ฟ</t>
  </si>
  <si>
    <t>4.  เครื่อง Printer</t>
  </si>
  <si>
    <t>5.  กล้องโทรทัศน์</t>
  </si>
  <si>
    <t>6.  พัดลมติดเพดาน</t>
  </si>
  <si>
    <t>7.  พัดลมตั้งพื้น</t>
  </si>
  <si>
    <t>8.  เครื่องถ่ายเอกสาร</t>
  </si>
  <si>
    <t>9.  ผ้าม่านกันแดด</t>
  </si>
  <si>
    <t>10.  เครื่องปรับอากาศ</t>
  </si>
  <si>
    <t>11.  เครื่องคอมพิวเตอร์</t>
  </si>
  <si>
    <t>12.  ตู้โชว์</t>
  </si>
  <si>
    <t>13.  เครื่องปรับอากาศ</t>
  </si>
  <si>
    <t>14.  อุปกรณ์สนามเด็กเล่น</t>
  </si>
  <si>
    <t>15.  โต๊ะทำงาน+ เก้าอื้</t>
  </si>
  <si>
    <t>16.  ไฟฉุกเฉิน</t>
  </si>
  <si>
    <t>17.  เครื่องปรับอากาศ</t>
  </si>
  <si>
    <t>18.  ป้ายอักษรไฟวิ่ง</t>
  </si>
  <si>
    <t xml:space="preserve"> - อุปกรณ์สนามเด็กเล่น  ประกอบด้วย</t>
  </si>
  <si>
    <t xml:space="preserve"> - หนูน้อยท้องทะเล 3</t>
  </si>
  <si>
    <t xml:space="preserve"> - ฉลามหัวค้อนสปริง</t>
  </si>
  <si>
    <t xml:space="preserve"> - หนูน้อยสไลเดอร์ 2 ทาง</t>
  </si>
  <si>
    <t xml:space="preserve"> - ปีนป่ายเชือก</t>
  </si>
  <si>
    <t xml:space="preserve"> - ม้ากระดก 4 ที่นั่ง</t>
  </si>
  <si>
    <t xml:space="preserve"> - โต๊ะทำงานพร้อมเก้าอี้ ระดับผู้บริหาร</t>
  </si>
  <si>
    <t xml:space="preserve"> - ไฟฉุกเฉิน 12 v 2 หัว 3 ตัว ๆ ละ 3,730 บาท</t>
  </si>
  <si>
    <t xml:space="preserve"> - เครื่องปรับอากาศ มิตซูบิชิ ขนาด 18,000 BTU 2 เครื่อง</t>
  </si>
  <si>
    <t xml:space="preserve"> - ป้ายอักษรไฟวิ่ง Computer Led</t>
  </si>
  <si>
    <t xml:space="preserve">                                               ผู้อำนวยการกองคลัง                                                                     ปลัดเทศบาล                                                  นายกเทศมนตรีตำบลบ้านหมอ        </t>
  </si>
  <si>
    <t>รวมรายจ่าย</t>
  </si>
  <si>
    <t>กล้องโทรทัศน์สี ชนิดตั้งคงที่ พร้อมเลนท์ 16 กล้อง พร้อมอุปกรณ์</t>
  </si>
  <si>
    <t>ป้ายอักษรไฟวิ่ง Computer Led</t>
  </si>
  <si>
    <t>โต๊ะทำงานพร้อมเก้าอี้ระดับผู้บริหาร จำนวน  1  ชุด</t>
  </si>
  <si>
    <t>ปรับปรุงระบบเสียงตามสาย และติดตั้งอุปกรณ์ บริเวณชุมชนย่อยในเขตเทศบาล</t>
  </si>
  <si>
    <t>ยู เอส บี ไดร์ฟ 160 GB พร้อมอุปกรณ์  จำนวน  1  อัน</t>
  </si>
  <si>
    <t>พัดลมติดเพดาน 26 นิ้ว ยี่ห้อ SAKURA จำนวน 3 ชุด ๆ ละ 1,250 บาท</t>
  </si>
  <si>
    <t>พัดลมติดเพดาน 26 นิ้ว ยี่ห้อ Mitsubishi  จำนวน 7 ชุด ๆ ละ 1,250 บาท</t>
  </si>
  <si>
    <t>พัดลมตั้งพื้น 3 ขา ขนาด 24 นิ้ว  จำนวน 5 ตัว ๆ ละ 2,996</t>
  </si>
  <si>
    <t>พัดลม 48 นิ้ว พร้อมอุปกรณ์ติดตั้ง จำนวน 2 ชุด ๆ ละ 2,996 บาท</t>
  </si>
  <si>
    <t>เครื่องปรับอากาศระบบไอน้ำ   จำนวน  4  เครื่อง ๆ ละ 9,500 บาท</t>
  </si>
  <si>
    <t>ไฟฉุกเฉิน 12 V 2 หัว  จำนวน 3 ตัว ๆ ละ 3,991.10  บาท</t>
  </si>
  <si>
    <t>เครื่องปรับอากาศ มิตซูบิชิ ขนาด 18,000 BTU จำนวน 2 เครื่อง ๆ ละ 34,000  บาท</t>
  </si>
  <si>
    <t>ตู้ชาร์ทแบตเตอรี่  จำนวน  1  ตู้</t>
  </si>
  <si>
    <t>แม่แรงตะเข้  ขนาด 2 ตัน  จำนวน  1  ตัว</t>
  </si>
  <si>
    <t>แม่แรงตะเข้  ขนาด 3 ตัน  จำนวน  1  ตัว</t>
  </si>
  <si>
    <t>เครื่องไดโว่สูบน้ำ ขนาด 2 นิ้ว  จำนวน 4 เครื่อง ๆ ละ 5,000 บาท</t>
  </si>
  <si>
    <t>หัวฉีดน้ำดับเพลิงแบบด้ามปืน  ใช้ฉีดน้ำเป็นลำตรง หรือปรับฉีดเป็นฝอยและม่านน้ำ</t>
  </si>
  <si>
    <t>เครื่องกำเนิดไฟฟ้าชนิเครื่องยนต์เบนซิน ขนาด 6 แรงม้าพร้อมอุปกรณ์</t>
  </si>
  <si>
    <t>เครื่องคอมพิวเตอร์ พร้อมปริ้นเตอร์ และเครื่องสำรองไฟ จำนวน 1 ชุด</t>
  </si>
  <si>
    <t>เครื่องถ่ายเอกสารระบบดิจิตอล ยี่ห้อชาร์ป พร้อมปริ้นเตอร์ จำนวน 1 เครื่อง</t>
  </si>
  <si>
    <t>เครื่อง Printer Epson cx 5500 พร้อม TANK  จำนวน  1  เครื่อง</t>
  </si>
  <si>
    <t>ค่าจ้างเหมาปรับปรุงอ่างล้างหน้า ศูนย์พัฒนาเด็กเล็กฯ</t>
  </si>
  <si>
    <t>ค่าจ้างเหมาปรับปรุงห้องน้ำ ศูนย์พัฒนาเด็กเล็กฯ</t>
  </si>
  <si>
    <t xml:space="preserve"> - คีย์บอร์ด</t>
  </si>
  <si>
    <t xml:space="preserve"> - เครื่องขยายเสียงแบบสะพาย</t>
  </si>
  <si>
    <t xml:space="preserve"> - กลองชุด</t>
  </si>
  <si>
    <t xml:space="preserve"> - กลองบองโก้</t>
  </si>
  <si>
    <t xml:space="preserve"> - แทมมารีน</t>
  </si>
  <si>
    <t xml:space="preserve"> - ลูกซัค</t>
  </si>
  <si>
    <t xml:space="preserve"> - กลองทอมบ้า</t>
  </si>
  <si>
    <t xml:space="preserve">เครื่องดนตรีชุด  </t>
  </si>
  <si>
    <t>รถเข็นขยะแบบใหญ่ 15 ปีบ  จำนวน  3 คัน ๆ ละ 2,800 บาท</t>
  </si>
  <si>
    <t>เครื่องตัดคอนกรีต 4 นิ้ว Dynamic  จำนวน  1  เครื่อง</t>
  </si>
  <si>
    <t>เครื่องออกกำลังกาย ในห้องออกกำลังกาย อาคารสำนักงานชั้น 2</t>
  </si>
  <si>
    <t>เครื่องออกกำลังกายกลางแจ้ง  บริเวณ หมู่ที่ 2 ,3,10 และลานแอโรบิคหน้าอำเภอ</t>
  </si>
  <si>
    <t>อุปกรณ์สนามเด็กเล่น  บริเวณหมู่ที่ 9 และ 10</t>
  </si>
  <si>
    <t>ค่าจ้างเหมาปรับปรุงสนามเด็กเล่น</t>
  </si>
  <si>
    <t>ค่าจ้างเหมาติดตั้งเสาไฟฟ้าเหล็กรีดโคมกิ่งเดี่ยว  บริเวณ หมู่ที่ 12</t>
  </si>
  <si>
    <t>ค่าจ้างเหมาติดตั้งเสาไฟฟ้าพร้อมโคมสปอร์ตไลท์  จำนวน  4 จุด หมู่ที่2 ,3 และ 10</t>
  </si>
  <si>
    <t>ค่าจ้างเหมาปลูกไม้ดอกไม้ประดับบริเวณสวนหย่อมในเขตเทศบาล</t>
  </si>
  <si>
    <t>ป้ายประชาสัมพันธ์แบบเหล็ก ในเขตเทศบาล  จำนวน 5 ป้าย ๆ ละ 17,577 บาท</t>
  </si>
  <si>
    <t>ค่าจ้างเหมาก่อสร้างซุ้มประตูแบบไม้แกะสลัก บริเวณถนนเทศบาล 1 หมู่ที่ 5</t>
  </si>
  <si>
    <t>ค่าจ้างเหมาวางท่อ ค.ส.ล. เริ่มจากถนนเทศบาล 9</t>
  </si>
  <si>
    <t>ค่าจ้างเหมาปูพื้นสนามเด็กเล่น</t>
  </si>
  <si>
    <t>ค่าจ้างเหมาก่อสร้างรางระบายน้ำ  บริเวณหมู่ที่ 5</t>
  </si>
  <si>
    <t>ค่าจ้างเหมาปิดร่องระบายน้ำ ทั่วเขตเทศบาล</t>
  </si>
  <si>
    <t>ค่าจ้างเหมาก่อสร้างรางระบายน้ำ  บริเวณถนนเทศบาล 13  หน้าห้องสมุดประชาชน</t>
  </si>
  <si>
    <t>ค่าจ้างเหมาย้ายแนวท่อเมนประปา</t>
  </si>
  <si>
    <t>ตู้โชว์กระจก  จำนวน  2 ตู้ ๆ ละ 5,500  บาท</t>
  </si>
  <si>
    <t>หมายเหตุ 1</t>
  </si>
  <si>
    <t>บาท</t>
  </si>
  <si>
    <t>ค่าครุภัณฑ์จ่ายจากเงินรายรับ</t>
  </si>
  <si>
    <t>หมายเหตุ  ประกอบงบแสดงผลการดำเนินงาน ปีงบประมาณ 2551</t>
  </si>
  <si>
    <t>หมายเหตุ 2</t>
  </si>
  <si>
    <t>ค่าที่ดินและสิ่งก่อสร้างจ่ายจากเงินรายรับ</t>
  </si>
  <si>
    <t>ค่าที่ดินและสิ่งก่อสร้างจ่ายจากเงินสะสม</t>
  </si>
  <si>
    <t>รวมทั้งสิ้น</t>
  </si>
  <si>
    <t>1. ที่ดิน</t>
  </si>
  <si>
    <t>2. อาคาร</t>
  </si>
  <si>
    <t xml:space="preserve">ทรัพย์สินตามงบทรัพย์สิน </t>
  </si>
  <si>
    <t xml:space="preserve">เงินสดและเงินฝากธนาคาร </t>
  </si>
  <si>
    <t>รวมทรัพย์สิน</t>
  </si>
  <si>
    <t xml:space="preserve">ทุนทรัพย์สิน </t>
  </si>
  <si>
    <t xml:space="preserve">เงินรับฝากต่าง ๆ </t>
  </si>
  <si>
    <t xml:space="preserve">เงินสะสม  </t>
  </si>
  <si>
    <t>รวมหนี้สินและเงินสะสม</t>
  </si>
  <si>
    <t>ก.   อสังหาริมทรัพย์</t>
  </si>
  <si>
    <t>ข.   สังหาริมทรัพย์</t>
  </si>
  <si>
    <t>หมายเหตุ 3</t>
  </si>
  <si>
    <t>หมายเหตุ 4</t>
  </si>
  <si>
    <t>หมวดค่าครุภัณฑ์</t>
  </si>
  <si>
    <t xml:space="preserve"> - ค่าพาหนะ  (ศูนย์พัฒนาเด็กเล็ก)</t>
  </si>
  <si>
    <t xml:space="preserve"> - ค่าสนับสนุนการแข่งขันกีฬา</t>
  </si>
  <si>
    <t xml:space="preserve"> - ค่าสนับสนุนบริการสาธารณะ</t>
  </si>
  <si>
    <t xml:space="preserve"> - ค่าวัสดุ (อาหารเสริม นม ร.ร.)</t>
  </si>
  <si>
    <t xml:space="preserve"> - ค่าวัสดุ (อาหารเสริม นม ศูนย์ฯ)</t>
  </si>
  <si>
    <t>เงินอุดหนุนเพื่อดำเนินการตามวัตถุประสงค์โดยไม่ต้องตราเทศบัญญัติ</t>
  </si>
  <si>
    <t>เงินอุดหนุนฯ ที่ได้ก่อหนี้ผูกพันและเบิกจ่ายไม่ทัน</t>
  </si>
  <si>
    <t>จำนวนเงินตาม</t>
  </si>
  <si>
    <t>ยังไม่ก่อหนี้ผูกพัน</t>
  </si>
  <si>
    <t>ใบแจ้งจัดสรร</t>
  </si>
  <si>
    <t>หมายเหตุ 5</t>
  </si>
  <si>
    <t>หมายเหตุ   ประกอบงบการเงิน ณ วันที่ 28 กันยายน 2549</t>
  </si>
  <si>
    <t>ยอดบัญชีสำรองเงินรายรับ  ประกอบด้วย</t>
  </si>
  <si>
    <t>(1) เงินรายได้ประเภทภาษีมูลค่าเพิ่ม  ภาษีสุรา และภาษีสรรพสามิตให้แก่องค์กรปกครอง</t>
  </si>
  <si>
    <t>ส่วนท้องถิ่น ตามประกาศคณะกรรมการกระจายอำนาจให้แก่องค์กรปกครอง</t>
  </si>
  <si>
    <t>ส่วนท้องถิ่น</t>
  </si>
  <si>
    <t>(2) รายได้ที่องค์กรปกครองส่วนท้องถิ่นจัดเก็บเอง</t>
  </si>
  <si>
    <t>หมายเหตุ   6</t>
  </si>
  <si>
    <t>รายรับจริงสูงกว่ารายจ่ายจริงหลังหักเงินทุนสำรองเงินสะสม</t>
  </si>
  <si>
    <t>2. เงินสะสมที่สามารถนำไปใช้จ่ายได้</t>
  </si>
  <si>
    <t>รายละเอียดแนบ 1</t>
  </si>
  <si>
    <t>รายละเอียดประกอบงบเงินสะสม</t>
  </si>
  <si>
    <t>ลำดับที่</t>
  </si>
  <si>
    <t>รายจ่ายค้างจ่ายเหลือจ่าย</t>
  </si>
  <si>
    <t>โอนปิดบัญชีเงินรับฝากเงินอุทิศเข้าเงินสะสม</t>
  </si>
  <si>
    <t>รวมปรับปรุงรายการ</t>
  </si>
  <si>
    <t>ปีงบประมาณ 2551</t>
  </si>
  <si>
    <t>ได้รับอนุมัติ</t>
  </si>
  <si>
    <t>ปี 2551</t>
  </si>
  <si>
    <t>หมวดเงินเดือน</t>
  </si>
  <si>
    <t xml:space="preserve">1. ตามมติที่ประชุมสมัยสามัญ </t>
  </si>
  <si>
    <t>"</t>
  </si>
  <si>
    <t>หมวดค่าจ้างประจำ</t>
  </si>
  <si>
    <t>สมัยที่ 2 ครั้งที่ 1 ประจำปี 2550</t>
  </si>
  <si>
    <t>หมวดค่าจ้างชั่วคราว</t>
  </si>
  <si>
    <t>วันที่ 14 สิงหาคม 2550</t>
  </si>
  <si>
    <t>หมวดค่าตอบแทน</t>
  </si>
  <si>
    <t>2. ตามมติที่ประชุมสมัยสามัญ</t>
  </si>
  <si>
    <t>สมัยที่ 3 ครั้งที่ 1 ประจำปี 2550</t>
  </si>
  <si>
    <t>หมวดเงินอุดหนุน</t>
  </si>
  <si>
    <t xml:space="preserve"> -</t>
  </si>
  <si>
    <t>วันที่ 26 ตุลาคม 2550</t>
  </si>
  <si>
    <t xml:space="preserve">3. ตามมติที่ประชุมสมัยสามัญ </t>
  </si>
  <si>
    <t>สมัยที่ 1 ครั้งที่ 1 ประจำปี 2551</t>
  </si>
  <si>
    <t>วันที่ 19 กุมภาพันธ์ 2551</t>
  </si>
  <si>
    <t>อนุมัติจ่ายขาดเงินสะสม</t>
  </si>
  <si>
    <t>หัก</t>
  </si>
  <si>
    <t>จ่ายขาดเงินสะสมปี 2551</t>
  </si>
  <si>
    <t xml:space="preserve">รับคืนตามข้อทักท้วง ส.ต.ง. (ปี 2546 - 2548) </t>
  </si>
  <si>
    <t>โอนปิดบัญชีดอกเบี้ยโครงการถ่ายโอนเข้าเงินสะสม</t>
  </si>
  <si>
    <t>ปีงบประมาณ  2551</t>
  </si>
  <si>
    <t>มติที่ประชุมสมัยสามัญ สมัยที่ 2</t>
  </si>
  <si>
    <t>ครั้งที่ 1 ประจำปี 2550</t>
  </si>
  <si>
    <t xml:space="preserve"> 26 ต.ค. 2550</t>
  </si>
  <si>
    <t>มติที่ประชุมสมัยสามัญ สมัยที่ 3</t>
  </si>
  <si>
    <t xml:space="preserve"> - ค่าจ้างเหมาก่อสร้างป้ายประชาสัมพันธ์ 5 ป้าย</t>
  </si>
  <si>
    <t xml:space="preserve"> - ค่าจ้างเหมาก่อสร้างซุ้มประตูเฉลิมพระเกียรติ</t>
  </si>
  <si>
    <t xml:space="preserve"> - ค่าจ้างเหมาวางท่อระบายน้ำ ค.ส.ล. บริเวณ</t>
  </si>
  <si>
    <t>ถนนเทศบาล 9 หมู่ที่ 12</t>
  </si>
  <si>
    <t xml:space="preserve"> 20 พ.ย. 2550</t>
  </si>
  <si>
    <t>อาศัยอำนาจตามระเบียบ</t>
  </si>
  <si>
    <t xml:space="preserve"> - ค่าจ้างเหมาจัดทำป้ายเลือกตั้ง</t>
  </si>
  <si>
    <t>กระทรวงมหาดไทยฯ</t>
  </si>
  <si>
    <t xml:space="preserve"> 19 ก.พ. 2551</t>
  </si>
  <si>
    <t xml:space="preserve"> - ค่าจ้างเหมาปิดร่องรางระบายน้ำพร้อมปู</t>
  </si>
  <si>
    <t>มติที่ประชุมสมัยสามัญ สมัยที่ 1</t>
  </si>
  <si>
    <t>แอสฟัลท์ติกคอนกรีตทับ บริเวณถนนเทศบาล 1</t>
  </si>
  <si>
    <t xml:space="preserve"> 9 ก.ค. 2551</t>
  </si>
  <si>
    <t xml:space="preserve">ค่าตอบแทน </t>
  </si>
  <si>
    <t xml:space="preserve"> - ค่าครองชีพผู้รับบำนาญ</t>
  </si>
  <si>
    <t xml:space="preserve"> 30 ก.ค. 2551</t>
  </si>
  <si>
    <t xml:space="preserve"> - ค่ารักษาพยาบาล (สำนักปลัด)</t>
  </si>
  <si>
    <t xml:space="preserve"> 31 ก.ค. 2551</t>
  </si>
  <si>
    <t xml:space="preserve"> 26 ส.ค. 2551</t>
  </si>
  <si>
    <t xml:space="preserve"> 29 ส.ค. 2551</t>
  </si>
  <si>
    <t xml:space="preserve"> - เงินเดือน (สำนักปลัด)</t>
  </si>
  <si>
    <t xml:space="preserve"> - เงินเดือน (ป้องกันฯ)</t>
  </si>
  <si>
    <t xml:space="preserve"> - เงินเดือน (กองการศึกษา)</t>
  </si>
  <si>
    <t xml:space="preserve"> - เงินเดือน (สาธารณสุข)</t>
  </si>
  <si>
    <t xml:space="preserve"> - เงินเดือน (ช่าง)</t>
  </si>
  <si>
    <t xml:space="preserve"> - ค่าจ้างประจำ(สำนักปลัด)</t>
  </si>
  <si>
    <t xml:space="preserve"> - ค่าจ้างประจำ (ช่าง)</t>
  </si>
  <si>
    <t xml:space="preserve"> - ค่าจ้างชั่วคราว (ป้องกัน)</t>
  </si>
  <si>
    <t xml:space="preserve"> - ค่าจ้างชั่วคราว (กองการศึกษา)</t>
  </si>
  <si>
    <t xml:space="preserve"> - ค่าจ้างชั่วคราว (สาธารณสุข)</t>
  </si>
  <si>
    <t xml:space="preserve"> - ค่าจ้างชั่วคราว (ช่าง)</t>
  </si>
  <si>
    <t xml:space="preserve"> 24 ก.ย. 2551 </t>
  </si>
  <si>
    <t xml:space="preserve"> 30 ก.ย. 2551</t>
  </si>
  <si>
    <t xml:space="preserve"> - เงินเดือน (สวัสดิการ)</t>
  </si>
  <si>
    <t xml:space="preserve"> - ค่าจ้างประจำ (สำนักปลัด)</t>
  </si>
  <si>
    <t xml:space="preserve"> - ค่าจ้างประจำ (ป้องกันฯ)</t>
  </si>
  <si>
    <t xml:space="preserve"> - ค่าจ้างประจำ (กองคลัง)</t>
  </si>
  <si>
    <t xml:space="preserve"> - ค่าจ้างชัวคราว (ป้องกันฯ)</t>
  </si>
  <si>
    <t xml:space="preserve"> - ค่าจ้างชั่วคราว (กองการศึกษา - ศูนย์ฯ)</t>
  </si>
  <si>
    <t xml:space="preserve">เงินสด  เงินฝากธนาคาร และเงินฝากคลัง   </t>
  </si>
  <si>
    <t>หมายเหตุ 6.1</t>
  </si>
  <si>
    <t>สำรองเงินรายรับ (หมายเหตุ3)</t>
  </si>
  <si>
    <t>.....................................................</t>
  </si>
  <si>
    <t>ผู้อำนวยการกองคลัง</t>
  </si>
  <si>
    <t>ปลัดเทศบาลตำบลบ้านหมอ</t>
  </si>
  <si>
    <t>นายกเทศมนตรีตำบลบ้านหมอ</t>
  </si>
  <si>
    <t>เทศบาลตำบลตลาดน้อย</t>
  </si>
  <si>
    <t>3. เสาธง</t>
  </si>
  <si>
    <t>4. โรงจอดรถ</t>
  </si>
  <si>
    <t>5. ป้าย</t>
  </si>
  <si>
    <t>6. โรงเก็บพัสดุ</t>
  </si>
  <si>
    <t>7. รั้ว</t>
  </si>
  <si>
    <t>8. หอกระจายข่าว</t>
  </si>
  <si>
    <t>9. เสียงตามสาย</t>
  </si>
  <si>
    <t>ข.  เงินอุดหนุนจากรัฐบาล</t>
  </si>
  <si>
    <t>ค.  เงินจ่ายขาดเงินสะสม</t>
  </si>
  <si>
    <t>ง.  เงินนอกงบประมาณ</t>
  </si>
  <si>
    <t>จ.  เงินอุดหนุนเฉพาะกิจ</t>
  </si>
  <si>
    <t>ฉ.  เงินสำรองรายรับ</t>
  </si>
  <si>
    <t>ประเภทออมทรัพย์  (136-0-10242-6)</t>
  </si>
  <si>
    <t>ประเภทออมทรัพย์  (136-0-10236-1)</t>
  </si>
  <si>
    <t>ประเภทกระแสรายวัน  (136-6-00297-0)</t>
  </si>
  <si>
    <t>ประเภทออมทรัพย์  (507-2-07555-1)</t>
  </si>
  <si>
    <t xml:space="preserve">ประเภทออมทรัพย์  (507-2-13983-0)  </t>
  </si>
  <si>
    <t>ประเภทออมทรัพย์  (507-2-13365-6)</t>
  </si>
  <si>
    <t>ประเภทประจำ  (507-4-01414-3)</t>
  </si>
  <si>
    <t>ธนาคารนครหลวงไทย</t>
  </si>
  <si>
    <t>ประเภทประจำ  (307-3-03782-6)</t>
  </si>
  <si>
    <t>เงินทุนเศรษฐกิจชุมชน (บัญชีที่ 2)</t>
  </si>
  <si>
    <t>ดอกเบี้ยเงินทุนเศรษฐกิจชุมชน (บัญชีที่ 2)</t>
  </si>
  <si>
    <t>ดอกเบี้ยบัญชีเงินอุดหนุน</t>
  </si>
  <si>
    <t xml:space="preserve"> - ค่าอาหารเสริม (นม) </t>
  </si>
  <si>
    <t xml:space="preserve"> - ค่าอาหารเสริม (นม) ป.5, ป.6</t>
  </si>
  <si>
    <t>หมวดเงินงบกลาง</t>
  </si>
  <si>
    <t xml:space="preserve"> - ค่าเบี้ยยังชีพคนชรา</t>
  </si>
  <si>
    <t>เพียง  ณ  วันที่  30  กันยายน  2552</t>
  </si>
  <si>
    <t>ประจำปีงบประมาณ  2552</t>
  </si>
  <si>
    <t>เทศบาลตำบลตลาดน้อย     อำเภอบ้านหมอ     จังหวัดสระบุรี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</si>
  <si>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</si>
  <si>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</si>
  <si>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</si>
  <si>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</si>
  <si>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</si>
  <si>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ค่าปรับและใบอนุญาต</t>
  </si>
  <si>
    <t>รายได้จากสาธารณูปโภคและการพาณิชย์</t>
  </si>
  <si>
    <t>ภาษีจัดสรร</t>
  </si>
  <si>
    <t>รวมรายรับทั้งสิ้น</t>
  </si>
  <si>
    <t>รายจ่ายจริง</t>
  </si>
  <si>
    <t>รายจ่ายตามประมาณการ</t>
  </si>
  <si>
    <t>ค่าครุภัณฑ์</t>
  </si>
  <si>
    <t>รวมรายจ่ายทั้งสิ้น</t>
  </si>
  <si>
    <t>สูงกว่า</t>
  </si>
  <si>
    <t>รายรับ                                                               รายจ่าย</t>
  </si>
  <si>
    <t>(ต่ำกว่า)</t>
  </si>
  <si>
    <t>1. หุ้นในโรงพิมพ์ส่วนท้องถิ่น</t>
  </si>
  <si>
    <r>
      <t>บวก</t>
    </r>
    <r>
      <rPr>
        <sz val="15"/>
        <rFont val="CordiaUPC"/>
        <family val="2"/>
      </rPr>
      <t xml:space="preserve">    รายรับจริงสูงกว่ารายจ่ายจริง</t>
    </r>
  </si>
  <si>
    <r>
      <t xml:space="preserve">หัก </t>
    </r>
    <r>
      <rPr>
        <sz val="15"/>
        <rFont val="CordiaUPC"/>
        <family val="2"/>
      </rPr>
      <t xml:space="preserve">  25% ของรายรับจริงสูงกว่ารายจ่ายจริง (เงินทุนสำรองเงินสะสม)</t>
    </r>
  </si>
  <si>
    <t>ทรัพย์สินตามงบทรัพย์สิน</t>
  </si>
  <si>
    <t>ทุนทรัพย์สิน</t>
  </si>
  <si>
    <t>ลูกหนี้เงินยืมเงินสะสม</t>
  </si>
  <si>
    <t>เงินเบิกตัดปี</t>
  </si>
  <si>
    <t>รายได้ค้างรับ</t>
  </si>
  <si>
    <t>เงินอุดหนุนทั่วไปฝากจังหวัด</t>
  </si>
  <si>
    <t>เงินสดในมือ</t>
  </si>
  <si>
    <t>เงินสด</t>
  </si>
  <si>
    <t>เงินฝากธนาคารกรุงไทย - ออมทรัพย์</t>
  </si>
  <si>
    <t>เงินฝากธนาคาร ธกส. ออมทรัพย์ (อบต.)</t>
  </si>
  <si>
    <t>เงินฝากธนาคาร ธกส. ออมทรัพย์ (อุดหนุน)</t>
  </si>
  <si>
    <t xml:space="preserve">บวก </t>
  </si>
  <si>
    <t>รับจริงสูงกว่าจ่ายจริง</t>
  </si>
  <si>
    <t>เงินฝากธนาคาร ธกส. ออมทรัพย์ (บัญชี 2)</t>
  </si>
  <si>
    <t>เงินฝากธนาคาร ธกส. ประจำ</t>
  </si>
  <si>
    <t>ดอกเบี้ยเงินรับฝากกองทุนประกันฯ</t>
  </si>
  <si>
    <t>เงินฝากธนาคารกรุงไทย - กระแสรายวัน</t>
  </si>
  <si>
    <t>เงินฝากธนาคารนครหลวงไทย</t>
  </si>
  <si>
    <t>รหัสบัญชี</t>
  </si>
  <si>
    <t>เดบิท</t>
  </si>
  <si>
    <t>เครดิต</t>
  </si>
  <si>
    <t>110100</t>
  </si>
  <si>
    <t>เงินฝากธนาคาร  กรุงไทย ประเภทกระแสรายวัน</t>
  </si>
  <si>
    <t>110203</t>
  </si>
  <si>
    <t xml:space="preserve">เงินฝากธนาคาร  กรุงไทย ประเภทออมทรัพย์ </t>
  </si>
  <si>
    <t>110201</t>
  </si>
  <si>
    <t>50</t>
  </si>
  <si>
    <t>เงินฝากธนาคาร  ธกส.  ประเภทออมทรัพย์ - อบต.</t>
  </si>
  <si>
    <t>110201.</t>
  </si>
  <si>
    <t>เงินฝากธนาคาร  ธกส.  ประเภทออมทรัพย์ - เงินอุดหนุน</t>
  </si>
  <si>
    <t>เงินฝากธนาคาร  ธกส.  ประเภทออมทรัพย์ - บัญชี 2</t>
  </si>
  <si>
    <t>เงินฝากธนาคาร  ธกส.  ประเภทประจำ</t>
  </si>
  <si>
    <t>110202</t>
  </si>
  <si>
    <t>เงินฝากธนาคาร  ธกส.  ประเภออมทรัพย์</t>
  </si>
  <si>
    <t>542000</t>
  </si>
  <si>
    <t xml:space="preserve">บัญชีเงินสะสม </t>
  </si>
  <si>
    <t>300000</t>
  </si>
  <si>
    <t>บัญชีเงินทุนสำรองเงินสะสม</t>
  </si>
  <si>
    <t>320000</t>
  </si>
  <si>
    <t>บัญชีรายรับ</t>
  </si>
  <si>
    <t>400000</t>
  </si>
  <si>
    <t>บัญชีเงินรับฝาก (หมายเหตุ  2)</t>
  </si>
  <si>
    <t>230100</t>
  </si>
  <si>
    <t>งบทดลอง (หลังปิดบัญชี)</t>
  </si>
  <si>
    <t>รายจ่ายรอจ่าย</t>
  </si>
  <si>
    <t>ณ   วันที่  30   เดือน  กันยายน  พ.ศ.   2553</t>
  </si>
  <si>
    <t>71</t>
  </si>
  <si>
    <t>52</t>
  </si>
  <si>
    <t>92</t>
  </si>
  <si>
    <t>51</t>
  </si>
  <si>
    <t>29</t>
  </si>
  <si>
    <t>หมายเหตุ ประกอบงบแสดงฐานะการเงิน</t>
  </si>
  <si>
    <t>ณ   วันที่   30   กันยายน   2553</t>
  </si>
  <si>
    <t>เงินสะสม  1  ตุลาคม  52</t>
  </si>
  <si>
    <t>เงินสะสม  30  กันยายน  53</t>
  </si>
  <si>
    <t>งบรายรับ - รายจ่ายตามงบประมาณ  ประจำปี  2553</t>
  </si>
  <si>
    <t>ตั้งแต่วันที่   1   ตุลาคม   2552   ถึงวันที่   30   กันยายน   2553</t>
  </si>
  <si>
    <t>94</t>
  </si>
  <si>
    <t>06</t>
  </si>
  <si>
    <t>78</t>
  </si>
  <si>
    <t>18</t>
  </si>
  <si>
    <t>ณ  วันที่  30  กันยายน  2553</t>
  </si>
  <si>
    <t>เงินสะสม  30 กันยายน 2553</t>
  </si>
  <si>
    <t>เงินสะสม ณ วันที่  30  กันยายน  2553  ประกอบด้วย</t>
  </si>
  <si>
    <t>72</t>
  </si>
  <si>
    <t>บัญชีลูกหนี้เงินยืมเงินสะสม</t>
  </si>
  <si>
    <t>เจ้าหนี้เงินกู้ธนาคารกรุงไทย</t>
  </si>
  <si>
    <t>บัญชีทรัพย์สินจากเงินกู้</t>
  </si>
  <si>
    <t>ทรัพย์สินจากเงินกู้</t>
  </si>
  <si>
    <t>เจ้าหนี้เงินกู้กรุงไทย</t>
  </si>
  <si>
    <t>บัญชีเงินอุดหนุนเฉพาะกิจ - เบี้ยยังชีพผู้สูงอายุ</t>
  </si>
  <si>
    <t>เงินอุดหนุนเฉพาะกิจผู้สูงอายุ</t>
  </si>
  <si>
    <t>21</t>
  </si>
  <si>
    <t>เงินเดือน  (ฝ่ายการเมือง)</t>
  </si>
  <si>
    <t>เงินเดือน  (ฝ่ายประจำ)</t>
  </si>
  <si>
    <t>เพียง  ณ  วันที่  30  กันยายน  2553</t>
  </si>
  <si>
    <t>เงินอุดหนุนเฉพาะกิจ - ผู้สูงอายุ</t>
  </si>
  <si>
    <t>เงินสะสม  1  ตุลาคม  2552</t>
  </si>
  <si>
    <t>ฉ. อื่น ๆ</t>
  </si>
  <si>
    <t>จ. ในการการศึกษา</t>
  </si>
  <si>
    <t>82</t>
  </si>
  <si>
    <t>โอนเงินเข้าบัญชีเงินสะสม</t>
  </si>
  <si>
    <t>98</t>
  </si>
  <si>
    <t>ส่วนลดภาษีบำรุงท้องที่  6%</t>
  </si>
  <si>
    <r>
      <t xml:space="preserve">หัก </t>
    </r>
    <r>
      <rPr>
        <sz val="15"/>
        <rFont val="CordiaUPC"/>
        <family val="2"/>
      </rPr>
      <t xml:space="preserve">   จ่ายขาดเงินสะสม</t>
    </r>
  </si>
  <si>
    <r>
      <t xml:space="preserve">บวก </t>
    </r>
    <r>
      <rPr>
        <sz val="15"/>
        <rFont val="CordiaUPC"/>
        <family val="2"/>
      </rPr>
      <t xml:space="preserve">  โอนเงินเข้าบัญชีเงินสะสม</t>
    </r>
  </si>
  <si>
    <t>54</t>
  </si>
  <si>
    <t>46</t>
  </si>
  <si>
    <t>02</t>
  </si>
  <si>
    <t>65</t>
  </si>
  <si>
    <t>ประเภทกระแสรายวัน  (136-6-00367-5)</t>
  </si>
  <si>
    <t>เงินอุดหนุนทั่วไป - โครงการไทยเข้มแข็ง</t>
  </si>
  <si>
    <t>70</t>
  </si>
  <si>
    <t>85</t>
  </si>
  <si>
    <t>83</t>
  </si>
  <si>
    <t>57</t>
  </si>
  <si>
    <t>64</t>
  </si>
  <si>
    <t>44</t>
  </si>
  <si>
    <t xml:space="preserve">       </t>
  </si>
  <si>
    <t>ช. เงินโครงการไทยเข้มแข็ง</t>
  </si>
  <si>
    <t>22</t>
  </si>
  <si>
    <t>48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</si>
</sst>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dd\ ดดด\ bb"/>
    <numFmt numFmtId="207" formatCode="#,##0.00;[Red]#,##0.00"/>
    <numFmt numFmtId="208" formatCode="[$€-2]\ #,##0.00_);[Red]\([$€-2]\ #,##0.00\)"/>
  </numFmts>
  <fonts count="44">
    <font>
      <sz val="14"/>
      <name val="Cordia New"/>
      <family val="0"/>
    </font>
    <font>
      <sz val="14"/>
      <name val="Angsana New"/>
      <family val="1"/>
    </font>
    <font>
      <b/>
      <u val="single"/>
      <sz val="16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b/>
      <sz val="14"/>
      <name val="Cordia New"/>
      <family val="0"/>
    </font>
    <font>
      <b/>
      <sz val="14"/>
      <name val="Angsana New"/>
      <family val="1"/>
    </font>
    <font>
      <u val="single"/>
      <sz val="16"/>
      <name val="Angsana New"/>
      <family val="1"/>
    </font>
    <font>
      <sz val="16"/>
      <name val="Cordia New"/>
      <family val="2"/>
    </font>
    <font>
      <sz val="16"/>
      <name val="CordiaUPC"/>
      <family val="2"/>
    </font>
    <font>
      <sz val="14"/>
      <name val="CordiaUPC"/>
      <family val="2"/>
    </font>
    <font>
      <sz val="13"/>
      <name val="CordiaUPC"/>
      <family val="2"/>
    </font>
    <font>
      <sz val="13"/>
      <name val="Cordia New"/>
      <family val="2"/>
    </font>
    <font>
      <b/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sz val="13"/>
      <name val="Angsana New"/>
      <family val="1"/>
    </font>
    <font>
      <sz val="10"/>
      <name val="Angsana New"/>
      <family val="1"/>
    </font>
    <font>
      <sz val="14"/>
      <color indexed="8"/>
      <name val="Angsana New"/>
      <family val="1"/>
    </font>
    <font>
      <sz val="12"/>
      <name val="Angsana New"/>
      <family val="1"/>
    </font>
    <font>
      <u val="single"/>
      <sz val="16.8"/>
      <color indexed="12"/>
      <name val="Cordia New"/>
      <family val="0"/>
    </font>
    <font>
      <u val="single"/>
      <sz val="16.8"/>
      <color indexed="36"/>
      <name val="Cordia New"/>
      <family val="0"/>
    </font>
    <font>
      <sz val="16"/>
      <color indexed="10"/>
      <name val="Angsana New"/>
      <family val="1"/>
    </font>
    <font>
      <sz val="10"/>
      <name val="Arial"/>
      <family val="0"/>
    </font>
    <font>
      <sz val="8"/>
      <name val="Cordia New"/>
      <family val="0"/>
    </font>
    <font>
      <sz val="8"/>
      <name val="Arial"/>
      <family val="0"/>
    </font>
    <font>
      <sz val="11.5"/>
      <name val="Angsana New"/>
      <family val="1"/>
    </font>
    <font>
      <u val="single"/>
      <sz val="11.5"/>
      <name val="Angsana New"/>
      <family val="1"/>
    </font>
    <font>
      <sz val="11.5"/>
      <name val="AngsanaUPC"/>
      <family val="1"/>
    </font>
    <font>
      <b/>
      <sz val="11.5"/>
      <name val="Angsana New"/>
      <family val="1"/>
    </font>
    <font>
      <sz val="11.5"/>
      <color indexed="10"/>
      <name val="Angsana New"/>
      <family val="1"/>
    </font>
    <font>
      <sz val="11.5"/>
      <color indexed="10"/>
      <name val="AngsanaUPC"/>
      <family val="1"/>
    </font>
    <font>
      <b/>
      <sz val="11.5"/>
      <color indexed="10"/>
      <name val="Angsana New"/>
      <family val="1"/>
    </font>
    <font>
      <b/>
      <sz val="16"/>
      <name val="CordiaUPC"/>
      <family val="2"/>
    </font>
    <font>
      <sz val="15"/>
      <name val="CordiaUPC"/>
      <family val="2"/>
    </font>
    <font>
      <b/>
      <sz val="15"/>
      <name val="CordiaUPC"/>
      <family val="2"/>
    </font>
    <font>
      <b/>
      <u val="single"/>
      <sz val="15"/>
      <name val="CordiaUPC"/>
      <family val="2"/>
    </font>
    <font>
      <u val="single"/>
      <sz val="15"/>
      <name val="CordiaUPC"/>
      <family val="2"/>
    </font>
    <font>
      <b/>
      <sz val="15"/>
      <name val="AngsanaUPC"/>
      <family val="1"/>
    </font>
    <font>
      <sz val="15"/>
      <name val="AngsanaUPC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43" fontId="0" fillId="0" borderId="0" xfId="17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17" applyFont="1" applyAlignment="1">
      <alignment/>
    </xf>
    <xf numFmtId="43" fontId="4" fillId="0" borderId="1" xfId="17" applyFont="1" applyBorder="1" applyAlignment="1">
      <alignment/>
    </xf>
    <xf numFmtId="43" fontId="1" fillId="0" borderId="0" xfId="17" applyFont="1" applyAlignment="1">
      <alignment/>
    </xf>
    <xf numFmtId="43" fontId="4" fillId="0" borderId="0" xfId="17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43" fontId="3" fillId="0" borderId="0" xfId="17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43" fontId="6" fillId="0" borderId="4" xfId="17" applyFont="1" applyBorder="1" applyAlignment="1">
      <alignment/>
    </xf>
    <xf numFmtId="0" fontId="6" fillId="0" borderId="0" xfId="0" applyFont="1" applyAlignment="1">
      <alignment horizontal="left"/>
    </xf>
    <xf numFmtId="43" fontId="6" fillId="0" borderId="2" xfId="17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6" xfId="17" applyFont="1" applyBorder="1" applyAlignment="1">
      <alignment/>
    </xf>
    <xf numFmtId="0" fontId="8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horizontal="right"/>
    </xf>
    <xf numFmtId="43" fontId="6" fillId="0" borderId="7" xfId="17" applyFont="1" applyBorder="1" applyAlignment="1">
      <alignment/>
    </xf>
    <xf numFmtId="0" fontId="9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0" fillId="0" borderId="2" xfId="17" applyBorder="1" applyAlignment="1">
      <alignment/>
    </xf>
    <xf numFmtId="43" fontId="6" fillId="0" borderId="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6" fillId="0" borderId="8" xfId="17" applyFont="1" applyBorder="1" applyAlignment="1">
      <alignment/>
    </xf>
    <xf numFmtId="43" fontId="6" fillId="0" borderId="9" xfId="17" applyFont="1" applyBorder="1" applyAlignment="1">
      <alignment/>
    </xf>
    <xf numFmtId="43" fontId="6" fillId="0" borderId="10" xfId="17" applyFont="1" applyBorder="1" applyAlignment="1">
      <alignment/>
    </xf>
    <xf numFmtId="43" fontId="6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200" fontId="6" fillId="0" borderId="2" xfId="17" applyNumberFormat="1" applyFont="1" applyBorder="1" applyAlignment="1">
      <alignment/>
    </xf>
    <xf numFmtId="200" fontId="6" fillId="0" borderId="6" xfId="17" applyNumberFormat="1" applyFont="1" applyBorder="1" applyAlignment="1">
      <alignment/>
    </xf>
    <xf numFmtId="200" fontId="6" fillId="0" borderId="4" xfId="17" applyNumberFormat="1" applyFont="1" applyBorder="1" applyAlignment="1">
      <alignment/>
    </xf>
    <xf numFmtId="200" fontId="6" fillId="0" borderId="7" xfId="17" applyNumberFormat="1" applyFont="1" applyBorder="1" applyAlignment="1">
      <alignment/>
    </xf>
    <xf numFmtId="200" fontId="3" fillId="0" borderId="0" xfId="17" applyNumberFormat="1" applyFont="1" applyAlignment="1">
      <alignment/>
    </xf>
    <xf numFmtId="200" fontId="1" fillId="0" borderId="2" xfId="17" applyNumberFormat="1" applyFont="1" applyBorder="1" applyAlignment="1">
      <alignment/>
    </xf>
    <xf numFmtId="0" fontId="1" fillId="0" borderId="2" xfId="0" applyFont="1" applyBorder="1" applyAlignment="1">
      <alignment horizontal="left" indent="2"/>
    </xf>
    <xf numFmtId="200" fontId="4" fillId="0" borderId="0" xfId="17" applyNumberFormat="1" applyFont="1" applyBorder="1" applyAlignment="1">
      <alignment/>
    </xf>
    <xf numFmtId="43" fontId="3" fillId="0" borderId="4" xfId="17" applyFont="1" applyBorder="1" applyAlignment="1">
      <alignment/>
    </xf>
    <xf numFmtId="0" fontId="1" fillId="0" borderId="0" xfId="0" applyFont="1" applyAlignment="1">
      <alignment/>
    </xf>
    <xf numFmtId="43" fontId="3" fillId="0" borderId="2" xfId="17" applyFont="1" applyBorder="1" applyAlignment="1">
      <alignment/>
    </xf>
    <xf numFmtId="43" fontId="3" fillId="0" borderId="6" xfId="17" applyFont="1" applyBorder="1" applyAlignment="1">
      <alignment/>
    </xf>
    <xf numFmtId="0" fontId="3" fillId="0" borderId="0" xfId="0" applyFont="1" applyAlignment="1">
      <alignment/>
    </xf>
    <xf numFmtId="43" fontId="3" fillId="0" borderId="7" xfId="0" applyNumberFormat="1" applyFont="1" applyBorder="1" applyAlignment="1">
      <alignment/>
    </xf>
    <xf numFmtId="43" fontId="3" fillId="0" borderId="7" xfId="17" applyFont="1" applyBorder="1" applyAlignment="1">
      <alignment/>
    </xf>
    <xf numFmtId="200" fontId="3" fillId="0" borderId="0" xfId="17" applyNumberFormat="1" applyFont="1" applyBorder="1" applyAlignment="1">
      <alignment/>
    </xf>
    <xf numFmtId="43" fontId="5" fillId="0" borderId="4" xfId="17" applyFont="1" applyBorder="1" applyAlignment="1">
      <alignment horizontal="center"/>
    </xf>
    <xf numFmtId="43" fontId="5" fillId="0" borderId="2" xfId="17" applyFont="1" applyBorder="1" applyAlignment="1">
      <alignment horizontal="center"/>
    </xf>
    <xf numFmtId="43" fontId="6" fillId="0" borderId="0" xfId="17" applyFont="1" applyAlignment="1">
      <alignment/>
    </xf>
    <xf numFmtId="43" fontId="0" fillId="0" borderId="0" xfId="17" applyAlignment="1">
      <alignment/>
    </xf>
    <xf numFmtId="0" fontId="10" fillId="0" borderId="7" xfId="0" applyFont="1" applyBorder="1" applyAlignment="1">
      <alignment horizontal="center"/>
    </xf>
    <xf numFmtId="43" fontId="1" fillId="0" borderId="2" xfId="17" applyFont="1" applyBorder="1" applyAlignment="1">
      <alignment/>
    </xf>
    <xf numFmtId="43" fontId="10" fillId="0" borderId="11" xfId="17" applyFont="1" applyBorder="1" applyAlignment="1">
      <alignment/>
    </xf>
    <xf numFmtId="43" fontId="10" fillId="0" borderId="12" xfId="17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200" fontId="1" fillId="0" borderId="0" xfId="17" applyNumberFormat="1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0" fillId="0" borderId="9" xfId="0" applyFont="1" applyBorder="1" applyAlignment="1">
      <alignment horizontal="left" vertical="top" wrapText="1" indent="1"/>
    </xf>
    <xf numFmtId="0" fontId="10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top" wrapText="1" inden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 indent="2"/>
    </xf>
    <xf numFmtId="0" fontId="17" fillId="0" borderId="9" xfId="0" applyFont="1" applyBorder="1" applyAlignment="1">
      <alignment horizontal="left" vertical="top" wrapText="1"/>
    </xf>
    <xf numFmtId="200" fontId="0" fillId="0" borderId="0" xfId="17" applyNumberFormat="1" applyFont="1" applyBorder="1" applyAlignment="1">
      <alignment/>
    </xf>
    <xf numFmtId="200" fontId="1" fillId="0" borderId="0" xfId="17" applyNumberFormat="1" applyFont="1" applyBorder="1" applyAlignment="1">
      <alignment/>
    </xf>
    <xf numFmtId="200" fontId="10" fillId="0" borderId="0" xfId="17" applyNumberFormat="1" applyFont="1" applyAlignment="1">
      <alignment/>
    </xf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/>
    </xf>
    <xf numFmtId="0" fontId="20" fillId="0" borderId="0" xfId="0" applyFont="1" applyAlignment="1">
      <alignment/>
    </xf>
    <xf numFmtId="0" fontId="20" fillId="0" borderId="2" xfId="0" applyFont="1" applyBorder="1" applyAlignment="1">
      <alignment horizontal="left" indent="2"/>
    </xf>
    <xf numFmtId="0" fontId="18" fillId="0" borderId="2" xfId="0" applyFont="1" applyBorder="1" applyAlignment="1">
      <alignment/>
    </xf>
    <xf numFmtId="0" fontId="20" fillId="0" borderId="2" xfId="0" applyFont="1" applyBorder="1" applyAlignment="1">
      <alignment horizontal="left" indent="3"/>
    </xf>
    <xf numFmtId="0" fontId="20" fillId="0" borderId="0" xfId="0" applyFont="1" applyBorder="1" applyAlignment="1">
      <alignment/>
    </xf>
    <xf numFmtId="0" fontId="20" fillId="0" borderId="7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43" fontId="18" fillId="0" borderId="6" xfId="17" applyFont="1" applyBorder="1" applyAlignment="1">
      <alignment horizontal="center"/>
    </xf>
    <xf numFmtId="43" fontId="20" fillId="0" borderId="0" xfId="17" applyFont="1" applyAlignment="1">
      <alignment/>
    </xf>
    <xf numFmtId="43" fontId="20" fillId="0" borderId="0" xfId="17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21" fillId="0" borderId="0" xfId="0" applyFont="1" applyAlignment="1">
      <alignment/>
    </xf>
    <xf numFmtId="43" fontId="1" fillId="0" borderId="0" xfId="17" applyFont="1" applyAlignment="1">
      <alignment/>
    </xf>
    <xf numFmtId="43" fontId="1" fillId="0" borderId="0" xfId="0" applyNumberFormat="1" applyFont="1" applyAlignment="1">
      <alignment/>
    </xf>
    <xf numFmtId="200" fontId="3" fillId="0" borderId="0" xfId="17" applyNumberFormat="1" applyFont="1" applyBorder="1" applyAlignment="1">
      <alignment/>
    </xf>
    <xf numFmtId="43" fontId="5" fillId="0" borderId="0" xfId="17" applyFont="1" applyAlignment="1">
      <alignment/>
    </xf>
    <xf numFmtId="43" fontId="0" fillId="0" borderId="2" xfId="17" applyBorder="1" applyAlignment="1">
      <alignment/>
    </xf>
    <xf numFmtId="43" fontId="6" fillId="0" borderId="0" xfId="0" applyNumberFormat="1" applyFont="1" applyAlignment="1">
      <alignment/>
    </xf>
    <xf numFmtId="43" fontId="1" fillId="0" borderId="9" xfId="17" applyFont="1" applyBorder="1" applyAlignment="1">
      <alignment horizontal="center"/>
    </xf>
    <xf numFmtId="43" fontId="1" fillId="0" borderId="2" xfId="17" applyFont="1" applyBorder="1" applyAlignment="1">
      <alignment horizontal="center"/>
    </xf>
    <xf numFmtId="43" fontId="10" fillId="0" borderId="6" xfId="17" applyFont="1" applyBorder="1" applyAlignment="1">
      <alignment/>
    </xf>
    <xf numFmtId="0" fontId="10" fillId="0" borderId="6" xfId="0" applyFont="1" applyBorder="1" applyAlignment="1">
      <alignment/>
    </xf>
    <xf numFmtId="0" fontId="1" fillId="0" borderId="9" xfId="0" applyFont="1" applyBorder="1" applyAlignment="1">
      <alignment horizontal="left" indent="1"/>
    </xf>
    <xf numFmtId="43" fontId="1" fillId="0" borderId="10" xfId="17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43" fontId="20" fillId="0" borderId="4" xfId="17" applyFont="1" applyBorder="1" applyAlignment="1">
      <alignment/>
    </xf>
    <xf numFmtId="43" fontId="20" fillId="0" borderId="2" xfId="17" applyFont="1" applyBorder="1" applyAlignment="1">
      <alignment/>
    </xf>
    <xf numFmtId="43" fontId="18" fillId="0" borderId="11" xfId="17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43" fontId="10" fillId="0" borderId="4" xfId="17" applyFont="1" applyBorder="1" applyAlignment="1">
      <alignment horizontal="center"/>
    </xf>
    <xf numFmtId="43" fontId="10" fillId="0" borderId="6" xfId="17" applyFont="1" applyBorder="1" applyAlignment="1">
      <alignment horizontal="center"/>
    </xf>
    <xf numFmtId="43" fontId="10" fillId="0" borderId="7" xfId="17" applyFont="1" applyBorder="1" applyAlignment="1">
      <alignment horizontal="center"/>
    </xf>
    <xf numFmtId="43" fontId="10" fillId="0" borderId="7" xfId="17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2" xfId="17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43" fontId="1" fillId="0" borderId="7" xfId="17" applyFont="1" applyBorder="1" applyAlignment="1">
      <alignment/>
    </xf>
    <xf numFmtId="43" fontId="1" fillId="0" borderId="7" xfId="17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43" fontId="4" fillId="0" borderId="14" xfId="17" applyFont="1" applyBorder="1" applyAlignment="1">
      <alignment horizontal="center"/>
    </xf>
    <xf numFmtId="43" fontId="4" fillId="0" borderId="0" xfId="17" applyFont="1" applyAlignment="1">
      <alignment horizontal="center"/>
    </xf>
    <xf numFmtId="43" fontId="1" fillId="0" borderId="15" xfId="17" applyFont="1" applyBorder="1" applyAlignment="1">
      <alignment horizontal="center"/>
    </xf>
    <xf numFmtId="43" fontId="1" fillId="0" borderId="4" xfId="17" applyFont="1" applyBorder="1" applyAlignment="1">
      <alignment horizontal="center"/>
    </xf>
    <xf numFmtId="43" fontId="1" fillId="0" borderId="5" xfId="17" applyFont="1" applyBorder="1" applyAlignment="1">
      <alignment horizontal="center"/>
    </xf>
    <xf numFmtId="43" fontId="1" fillId="0" borderId="16" xfId="17" applyFont="1" applyBorder="1" applyAlignment="1">
      <alignment horizontal="center"/>
    </xf>
    <xf numFmtId="43" fontId="1" fillId="0" borderId="6" xfId="17" applyFont="1" applyBorder="1" applyAlignment="1">
      <alignment horizontal="center"/>
    </xf>
    <xf numFmtId="43" fontId="10" fillId="0" borderId="10" xfId="17" applyFont="1" applyBorder="1" applyAlignment="1">
      <alignment horizontal="center"/>
    </xf>
    <xf numFmtId="43" fontId="1" fillId="0" borderId="2" xfId="17" applyFont="1" applyBorder="1" applyAlignment="1">
      <alignment horizontal="right" vertical="top" wrapText="1"/>
    </xf>
    <xf numFmtId="43" fontId="1" fillId="0" borderId="2" xfId="17" applyFont="1" applyBorder="1" applyAlignment="1">
      <alignment horizontal="center" vertical="top" wrapText="1"/>
    </xf>
    <xf numFmtId="43" fontId="1" fillId="0" borderId="10" xfId="17" applyFont="1" applyBorder="1" applyAlignment="1">
      <alignment vertical="top" wrapText="1"/>
    </xf>
    <xf numFmtId="43" fontId="10" fillId="0" borderId="2" xfId="17" applyFont="1" applyBorder="1" applyAlignment="1">
      <alignment horizontal="center" vertical="top" wrapText="1"/>
    </xf>
    <xf numFmtId="43" fontId="1" fillId="0" borderId="10" xfId="17" applyFont="1" applyBorder="1" applyAlignment="1">
      <alignment horizontal="right" vertical="top" wrapText="1"/>
    </xf>
    <xf numFmtId="43" fontId="10" fillId="0" borderId="17" xfId="17" applyFont="1" applyBorder="1" applyAlignment="1">
      <alignment horizontal="center" vertical="top" wrapText="1"/>
    </xf>
    <xf numFmtId="43" fontId="10" fillId="0" borderId="10" xfId="17" applyFont="1" applyBorder="1" applyAlignment="1">
      <alignment horizontal="center" vertical="top" wrapText="1"/>
    </xf>
    <xf numFmtId="43" fontId="10" fillId="0" borderId="2" xfId="17" applyFont="1" applyBorder="1" applyAlignment="1">
      <alignment horizontal="center"/>
    </xf>
    <xf numFmtId="43" fontId="1" fillId="0" borderId="17" xfId="17" applyFont="1" applyBorder="1" applyAlignment="1">
      <alignment horizontal="center" vertical="top" wrapText="1"/>
    </xf>
    <xf numFmtId="43" fontId="1" fillId="0" borderId="5" xfId="17" applyFont="1" applyBorder="1" applyAlignment="1">
      <alignment horizontal="center" vertical="top" wrapText="1"/>
    </xf>
    <xf numFmtId="43" fontId="1" fillId="0" borderId="2" xfId="17" applyFont="1" applyBorder="1" applyAlignment="1">
      <alignment vertical="top" wrapText="1"/>
    </xf>
    <xf numFmtId="43" fontId="1" fillId="0" borderId="5" xfId="17" applyFont="1" applyBorder="1" applyAlignment="1">
      <alignment vertical="top" wrapText="1"/>
    </xf>
    <xf numFmtId="43" fontId="1" fillId="0" borderId="5" xfId="17" applyFont="1" applyBorder="1" applyAlignment="1">
      <alignment horizontal="right" vertical="top" wrapText="1"/>
    </xf>
    <xf numFmtId="43" fontId="10" fillId="0" borderId="18" xfId="17" applyFont="1" applyBorder="1" applyAlignment="1">
      <alignment/>
    </xf>
    <xf numFmtId="43" fontId="10" fillId="0" borderId="18" xfId="17" applyFont="1" applyBorder="1" applyAlignment="1">
      <alignment horizontal="center"/>
    </xf>
    <xf numFmtId="43" fontId="10" fillId="0" borderId="19" xfId="17" applyFont="1" applyBorder="1" applyAlignment="1">
      <alignment/>
    </xf>
    <xf numFmtId="43" fontId="10" fillId="0" borderId="19" xfId="17" applyFont="1" applyBorder="1" applyAlignment="1">
      <alignment horizontal="center"/>
    </xf>
    <xf numFmtId="43" fontId="1" fillId="0" borderId="10" xfId="17" applyFont="1" applyBorder="1" applyAlignment="1">
      <alignment/>
    </xf>
    <xf numFmtId="43" fontId="1" fillId="0" borderId="0" xfId="17" applyFont="1" applyAlignment="1">
      <alignment horizontal="center"/>
    </xf>
    <xf numFmtId="43" fontId="10" fillId="0" borderId="0" xfId="17" applyFont="1" applyAlignment="1">
      <alignment horizontal="center"/>
    </xf>
    <xf numFmtId="43" fontId="1" fillId="0" borderId="0" xfId="17" applyFont="1" applyBorder="1" applyAlignment="1">
      <alignment/>
    </xf>
    <xf numFmtId="43" fontId="1" fillId="0" borderId="0" xfId="17" applyFont="1" applyBorder="1" applyAlignment="1">
      <alignment horizontal="center"/>
    </xf>
    <xf numFmtId="43" fontId="10" fillId="0" borderId="0" xfId="17" applyFont="1" applyBorder="1" applyAlignment="1">
      <alignment horizontal="center"/>
    </xf>
    <xf numFmtId="43" fontId="23" fillId="0" borderId="0" xfId="0" applyNumberFormat="1" applyFont="1" applyAlignment="1">
      <alignment/>
    </xf>
    <xf numFmtId="43" fontId="1" fillId="0" borderId="10" xfId="17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3" fontId="10" fillId="0" borderId="5" xfId="17" applyFont="1" applyBorder="1" applyAlignment="1">
      <alignment horizontal="center"/>
    </xf>
    <xf numFmtId="200" fontId="1" fillId="0" borderId="14" xfId="17" applyNumberFormat="1" applyFont="1" applyBorder="1" applyAlignment="1">
      <alignment/>
    </xf>
    <xf numFmtId="43" fontId="10" fillId="0" borderId="17" xfId="17" applyFont="1" applyBorder="1" applyAlignment="1">
      <alignment horizontal="center"/>
    </xf>
    <xf numFmtId="43" fontId="1" fillId="0" borderId="10" xfId="17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3" fontId="1" fillId="0" borderId="0" xfId="17" applyFont="1" applyBorder="1" applyAlignment="1">
      <alignment vertical="top" wrapText="1"/>
    </xf>
    <xf numFmtId="43" fontId="1" fillId="0" borderId="14" xfId="17" applyFont="1" applyBorder="1" applyAlignment="1">
      <alignment vertical="top" wrapText="1"/>
    </xf>
    <xf numFmtId="43" fontId="1" fillId="0" borderId="7" xfId="17" applyFont="1" applyBorder="1" applyAlignment="1">
      <alignment horizontal="center" vertical="top" wrapText="1"/>
    </xf>
    <xf numFmtId="43" fontId="10" fillId="0" borderId="5" xfId="17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/>
    </xf>
    <xf numFmtId="0" fontId="1" fillId="0" borderId="9" xfId="0" applyFont="1" applyBorder="1" applyAlignment="1">
      <alignment horizontal="left" vertical="top" wrapText="1"/>
    </xf>
    <xf numFmtId="43" fontId="1" fillId="0" borderId="7" xfId="17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43" fontId="10" fillId="0" borderId="7" xfId="17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6" fillId="0" borderId="0" xfId="0" applyFont="1" applyAlignment="1">
      <alignment/>
    </xf>
    <xf numFmtId="43" fontId="4" fillId="0" borderId="0" xfId="17" applyFont="1" applyAlignment="1">
      <alignment/>
    </xf>
    <xf numFmtId="0" fontId="3" fillId="0" borderId="0" xfId="0" applyFont="1" applyAlignment="1" quotePrefix="1">
      <alignment horizontal="center"/>
    </xf>
    <xf numFmtId="43" fontId="3" fillId="0" borderId="0" xfId="17" applyFont="1" applyAlignment="1">
      <alignment/>
    </xf>
    <xf numFmtId="43" fontId="3" fillId="0" borderId="0" xfId="0" applyNumberFormat="1" applyFont="1" applyAlignment="1">
      <alignment/>
    </xf>
    <xf numFmtId="12" fontId="3" fillId="0" borderId="0" xfId="0" applyNumberFormat="1" applyFont="1" applyAlignment="1">
      <alignment/>
    </xf>
    <xf numFmtId="43" fontId="4" fillId="0" borderId="0" xfId="17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3" fontId="4" fillId="0" borderId="1" xfId="17" applyFont="1" applyBorder="1" applyAlignment="1">
      <alignment/>
    </xf>
    <xf numFmtId="0" fontId="2" fillId="0" borderId="0" xfId="0" applyFont="1" applyAlignment="1">
      <alignment horizontal="right"/>
    </xf>
    <xf numFmtId="43" fontId="4" fillId="0" borderId="1" xfId="17" applyFont="1" applyBorder="1" applyAlignment="1">
      <alignment/>
    </xf>
    <xf numFmtId="43" fontId="4" fillId="0" borderId="0" xfId="17" applyFont="1" applyBorder="1" applyAlignment="1">
      <alignment/>
    </xf>
    <xf numFmtId="43" fontId="4" fillId="0" borderId="1" xfId="17" applyFont="1" applyBorder="1" applyAlignment="1">
      <alignment horizontal="center"/>
    </xf>
    <xf numFmtId="43" fontId="4" fillId="0" borderId="20" xfId="17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7" xfId="0" applyFont="1" applyBorder="1" applyAlignment="1">
      <alignment/>
    </xf>
    <xf numFmtId="43" fontId="10" fillId="0" borderId="21" xfId="17" applyFont="1" applyBorder="1" applyAlignment="1">
      <alignment horizontal="center"/>
    </xf>
    <xf numFmtId="43" fontId="3" fillId="0" borderId="0" xfId="17" applyFont="1" applyAlignment="1">
      <alignment/>
    </xf>
    <xf numFmtId="43" fontId="4" fillId="0" borderId="0" xfId="17" applyFont="1" applyAlignment="1">
      <alignment horizontal="right"/>
    </xf>
    <xf numFmtId="0" fontId="4" fillId="0" borderId="6" xfId="0" applyFont="1" applyBorder="1" applyAlignment="1">
      <alignment horizontal="center"/>
    </xf>
    <xf numFmtId="43" fontId="4" fillId="0" borderId="4" xfId="17" applyFont="1" applyBorder="1" applyAlignment="1">
      <alignment horizontal="center"/>
    </xf>
    <xf numFmtId="0" fontId="4" fillId="0" borderId="4" xfId="0" applyFont="1" applyBorder="1" applyAlignment="1">
      <alignment/>
    </xf>
    <xf numFmtId="43" fontId="3" fillId="0" borderId="4" xfId="17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left" indent="2"/>
    </xf>
    <xf numFmtId="43" fontId="3" fillId="0" borderId="2" xfId="17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left" indent="3"/>
    </xf>
    <xf numFmtId="43" fontId="4" fillId="0" borderId="11" xfId="17" applyFont="1" applyBorder="1" applyAlignment="1">
      <alignment/>
    </xf>
    <xf numFmtId="0" fontId="3" fillId="0" borderId="7" xfId="0" applyFont="1" applyBorder="1" applyAlignment="1">
      <alignment/>
    </xf>
    <xf numFmtId="43" fontId="10" fillId="0" borderId="8" xfId="17" applyFont="1" applyBorder="1" applyAlignment="1">
      <alignment horizontal="center"/>
    </xf>
    <xf numFmtId="43" fontId="10" fillId="0" borderId="13" xfId="17" applyFont="1" applyBorder="1" applyAlignment="1">
      <alignment horizontal="center"/>
    </xf>
    <xf numFmtId="0" fontId="1" fillId="0" borderId="2" xfId="0" applyFont="1" applyBorder="1" applyAlignment="1">
      <alignment/>
    </xf>
    <xf numFmtId="200" fontId="10" fillId="0" borderId="7" xfId="17" applyNumberFormat="1" applyFont="1" applyBorder="1" applyAlignment="1">
      <alignment/>
    </xf>
    <xf numFmtId="0" fontId="1" fillId="0" borderId="0" xfId="0" applyFont="1" applyBorder="1" applyAlignment="1">
      <alignment horizontal="left" indent="2"/>
    </xf>
    <xf numFmtId="43" fontId="1" fillId="0" borderId="0" xfId="17" applyFont="1" applyBorder="1" applyAlignment="1">
      <alignment/>
    </xf>
    <xf numFmtId="200" fontId="1" fillId="0" borderId="0" xfId="17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0" xfId="17" applyFont="1" applyBorder="1" applyAlignment="1">
      <alignment/>
    </xf>
    <xf numFmtId="43" fontId="10" fillId="0" borderId="4" xfId="17" applyFont="1" applyBorder="1" applyAlignment="1">
      <alignment/>
    </xf>
    <xf numFmtId="43" fontId="1" fillId="0" borderId="0" xfId="0" applyNumberFormat="1" applyFont="1" applyAlignment="1">
      <alignment/>
    </xf>
    <xf numFmtId="0" fontId="10" fillId="0" borderId="17" xfId="0" applyFont="1" applyBorder="1" applyAlignment="1">
      <alignment horizontal="center"/>
    </xf>
    <xf numFmtId="43" fontId="10" fillId="0" borderId="11" xfId="0" applyNumberFormat="1" applyFont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0" fontId="4" fillId="0" borderId="6" xfId="0" applyFont="1" applyBorder="1" applyAlignment="1">
      <alignment horizontal="center"/>
    </xf>
    <xf numFmtId="43" fontId="4" fillId="0" borderId="6" xfId="17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3" fillId="0" borderId="11" xfId="17" applyFont="1" applyBorder="1" applyAlignment="1">
      <alignment/>
    </xf>
    <xf numFmtId="0" fontId="4" fillId="0" borderId="0" xfId="21" applyFont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6" xfId="21" applyFont="1" applyBorder="1" applyAlignment="1">
      <alignment horizontal="center"/>
      <protection/>
    </xf>
    <xf numFmtId="0" fontId="3" fillId="0" borderId="7" xfId="21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2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43" fontId="3" fillId="0" borderId="2" xfId="17" applyFont="1" applyBorder="1" applyAlignment="1">
      <alignment horizontal="center"/>
    </xf>
    <xf numFmtId="0" fontId="3" fillId="0" borderId="7" xfId="21" applyFont="1" applyBorder="1">
      <alignment/>
      <protection/>
    </xf>
    <xf numFmtId="0" fontId="3" fillId="0" borderId="22" xfId="21" applyFont="1" applyBorder="1">
      <alignment/>
      <protection/>
    </xf>
    <xf numFmtId="0" fontId="4" fillId="0" borderId="22" xfId="21" applyFont="1" applyBorder="1" applyAlignment="1">
      <alignment horizontal="center"/>
      <protection/>
    </xf>
    <xf numFmtId="43" fontId="4" fillId="0" borderId="22" xfId="17" applyFont="1" applyBorder="1" applyAlignment="1">
      <alignment/>
    </xf>
    <xf numFmtId="43" fontId="4" fillId="0" borderId="22" xfId="17" applyFont="1" applyBorder="1" applyAlignment="1">
      <alignment horizontal="center"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4" fontId="3" fillId="0" borderId="0" xfId="21" applyNumberFormat="1" applyFont="1">
      <alignment/>
      <protection/>
    </xf>
    <xf numFmtId="4" fontId="4" fillId="0" borderId="0" xfId="21" applyNumberFormat="1" applyFont="1">
      <alignment/>
      <protection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43" fontId="1" fillId="0" borderId="5" xfId="17" applyFont="1" applyBorder="1" applyAlignment="1">
      <alignment/>
    </xf>
    <xf numFmtId="0" fontId="1" fillId="0" borderId="10" xfId="0" applyFont="1" applyBorder="1" applyAlignment="1">
      <alignment horizontal="left" indent="1"/>
    </xf>
    <xf numFmtId="0" fontId="1" fillId="0" borderId="5" xfId="0" applyFont="1" applyBorder="1" applyAlignment="1">
      <alignment horizontal="left" indent="2"/>
    </xf>
    <xf numFmtId="0" fontId="4" fillId="0" borderId="0" xfId="21" applyFont="1" applyAlignment="1">
      <alignment horizontal="right"/>
      <protection/>
    </xf>
    <xf numFmtId="43" fontId="3" fillId="0" borderId="4" xfId="17" applyFont="1" applyBorder="1" applyAlignment="1">
      <alignment horizontal="center"/>
    </xf>
    <xf numFmtId="43" fontId="3" fillId="0" borderId="7" xfId="17" applyFont="1" applyBorder="1" applyAlignment="1">
      <alignment horizontal="center"/>
    </xf>
    <xf numFmtId="43" fontId="3" fillId="0" borderId="0" xfId="17" applyFont="1" applyBorder="1" applyAlignment="1">
      <alignment/>
    </xf>
    <xf numFmtId="43" fontId="3" fillId="0" borderId="9" xfId="17" applyFont="1" applyBorder="1" applyAlignment="1">
      <alignment/>
    </xf>
    <xf numFmtId="0" fontId="30" fillId="0" borderId="8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9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43" fontId="30" fillId="0" borderId="6" xfId="0" applyNumberFormat="1" applyFont="1" applyBorder="1" applyAlignment="1">
      <alignment/>
    </xf>
    <xf numFmtId="194" fontId="30" fillId="0" borderId="6" xfId="0" applyNumberFormat="1" applyFont="1" applyBorder="1" applyAlignment="1">
      <alignment/>
    </xf>
    <xf numFmtId="0" fontId="30" fillId="0" borderId="6" xfId="0" applyFont="1" applyBorder="1" applyAlignment="1">
      <alignment/>
    </xf>
    <xf numFmtId="43" fontId="30" fillId="0" borderId="6" xfId="17" applyFont="1" applyBorder="1" applyAlignment="1">
      <alignment/>
    </xf>
    <xf numFmtId="43" fontId="30" fillId="0" borderId="2" xfId="17" applyFont="1" applyBorder="1" applyAlignment="1">
      <alignment horizontal="left"/>
    </xf>
    <xf numFmtId="43" fontId="30" fillId="0" borderId="16" xfId="17" applyFont="1" applyBorder="1" applyAlignment="1">
      <alignment/>
    </xf>
    <xf numFmtId="43" fontId="32" fillId="0" borderId="6" xfId="17" applyFont="1" applyBorder="1" applyAlignment="1">
      <alignment/>
    </xf>
    <xf numFmtId="43" fontId="30" fillId="0" borderId="0" xfId="17" applyFont="1" applyAlignment="1">
      <alignment/>
    </xf>
    <xf numFmtId="43" fontId="30" fillId="0" borderId="2" xfId="17" applyFont="1" applyBorder="1" applyAlignment="1">
      <alignment/>
    </xf>
    <xf numFmtId="43" fontId="30" fillId="0" borderId="2" xfId="17" applyFont="1" applyFill="1" applyBorder="1" applyAlignment="1">
      <alignment/>
    </xf>
    <xf numFmtId="43" fontId="30" fillId="0" borderId="6" xfId="17" applyFont="1" applyFill="1" applyBorder="1" applyAlignment="1">
      <alignment/>
    </xf>
    <xf numFmtId="43" fontId="30" fillId="0" borderId="0" xfId="17" applyFont="1" applyFill="1" applyAlignment="1">
      <alignment/>
    </xf>
    <xf numFmtId="43" fontId="30" fillId="0" borderId="4" xfId="17" applyFont="1" applyBorder="1" applyAlignment="1">
      <alignment/>
    </xf>
    <xf numFmtId="43" fontId="30" fillId="0" borderId="15" xfId="17" applyFont="1" applyBorder="1" applyAlignment="1">
      <alignment/>
    </xf>
    <xf numFmtId="43" fontId="30" fillId="0" borderId="11" xfId="17" applyFont="1" applyBorder="1" applyAlignment="1">
      <alignment/>
    </xf>
    <xf numFmtId="43" fontId="31" fillId="0" borderId="2" xfId="17" applyFont="1" applyBorder="1" applyAlignment="1">
      <alignment/>
    </xf>
    <xf numFmtId="43" fontId="30" fillId="0" borderId="7" xfId="17" applyFont="1" applyBorder="1" applyAlignment="1">
      <alignment/>
    </xf>
    <xf numFmtId="43" fontId="30" fillId="0" borderId="23" xfId="17" applyFont="1" applyBorder="1" applyAlignment="1">
      <alignment/>
    </xf>
    <xf numFmtId="43" fontId="30" fillId="0" borderId="24" xfId="17" applyFont="1" applyBorder="1" applyAlignment="1">
      <alignment/>
    </xf>
    <xf numFmtId="43" fontId="30" fillId="0" borderId="3" xfId="17" applyFont="1" applyBorder="1" applyAlignment="1">
      <alignment/>
    </xf>
    <xf numFmtId="43" fontId="30" fillId="0" borderId="5" xfId="17" applyFont="1" applyBorder="1" applyAlignment="1">
      <alignment/>
    </xf>
    <xf numFmtId="43" fontId="30" fillId="0" borderId="9" xfId="17" applyFont="1" applyBorder="1" applyAlignment="1">
      <alignment/>
    </xf>
    <xf numFmtId="43" fontId="30" fillId="0" borderId="0" xfId="17" applyFont="1" applyBorder="1" applyAlignment="1">
      <alignment/>
    </xf>
    <xf numFmtId="43" fontId="30" fillId="0" borderId="16" xfId="17" applyFont="1" applyBorder="1" applyAlignment="1">
      <alignment horizontal="center"/>
    </xf>
    <xf numFmtId="43" fontId="33" fillId="0" borderId="2" xfId="17" applyFont="1" applyBorder="1" applyAlignment="1">
      <alignment horizontal="center"/>
    </xf>
    <xf numFmtId="43" fontId="30" fillId="0" borderId="25" xfId="17" applyFont="1" applyBorder="1" applyAlignment="1">
      <alignment/>
    </xf>
    <xf numFmtId="43" fontId="30" fillId="0" borderId="26" xfId="17" applyFont="1" applyBorder="1" applyAlignment="1">
      <alignment/>
    </xf>
    <xf numFmtId="43" fontId="30" fillId="0" borderId="3" xfId="17" applyFont="1" applyBorder="1" applyAlignment="1">
      <alignment horizontal="center"/>
    </xf>
    <xf numFmtId="43" fontId="30" fillId="0" borderId="0" xfId="17" applyFont="1" applyBorder="1" applyAlignment="1">
      <alignment horizontal="center"/>
    </xf>
    <xf numFmtId="43" fontId="30" fillId="0" borderId="14" xfId="17" applyFont="1" applyBorder="1" applyAlignment="1">
      <alignment horizontal="center"/>
    </xf>
    <xf numFmtId="43" fontId="30" fillId="0" borderId="0" xfId="17" applyFont="1" applyBorder="1" applyAlignment="1">
      <alignment/>
    </xf>
    <xf numFmtId="0" fontId="30" fillId="0" borderId="9" xfId="0" applyFont="1" applyBorder="1" applyAlignment="1">
      <alignment/>
    </xf>
    <xf numFmtId="43" fontId="34" fillId="0" borderId="6" xfId="17" applyFont="1" applyBorder="1" applyAlignment="1">
      <alignment/>
    </xf>
    <xf numFmtId="43" fontId="35" fillId="0" borderId="6" xfId="17" applyFont="1" applyBorder="1" applyAlignment="1">
      <alignment/>
    </xf>
    <xf numFmtId="43" fontId="36" fillId="0" borderId="6" xfId="17" applyFont="1" applyFill="1" applyBorder="1" applyAlignment="1">
      <alignment/>
    </xf>
    <xf numFmtId="43" fontId="36" fillId="0" borderId="6" xfId="17" applyFont="1" applyBorder="1" applyAlignment="1">
      <alignment/>
    </xf>
    <xf numFmtId="43" fontId="34" fillId="0" borderId="6" xfId="17" applyFont="1" applyFill="1" applyBorder="1" applyAlignment="1">
      <alignment/>
    </xf>
    <xf numFmtId="0" fontId="38" fillId="0" borderId="0" xfId="0" applyFont="1" applyAlignment="1">
      <alignment/>
    </xf>
    <xf numFmtId="43" fontId="38" fillId="0" borderId="0" xfId="17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43" fontId="38" fillId="0" borderId="0" xfId="17" applyFont="1" applyBorder="1" applyAlignment="1">
      <alignment/>
    </xf>
    <xf numFmtId="0" fontId="40" fillId="0" borderId="0" xfId="0" applyFont="1" applyBorder="1" applyAlignment="1">
      <alignment horizontal="right"/>
    </xf>
    <xf numFmtId="43" fontId="38" fillId="0" borderId="0" xfId="17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indent="3"/>
    </xf>
    <xf numFmtId="43" fontId="38" fillId="0" borderId="14" xfId="17" applyFont="1" applyBorder="1" applyAlignment="1">
      <alignment horizontal="center"/>
    </xf>
    <xf numFmtId="0" fontId="38" fillId="0" borderId="0" xfId="0" applyFont="1" applyBorder="1" applyAlignment="1">
      <alignment horizontal="left" indent="3"/>
    </xf>
    <xf numFmtId="43" fontId="38" fillId="0" borderId="0" xfId="0" applyNumberFormat="1" applyFont="1" applyAlignment="1">
      <alignment/>
    </xf>
    <xf numFmtId="43" fontId="38" fillId="0" borderId="0" xfId="0" applyNumberFormat="1" applyFont="1" applyBorder="1" applyAlignment="1">
      <alignment/>
    </xf>
    <xf numFmtId="43" fontId="38" fillId="0" borderId="0" xfId="17" applyNumberFormat="1" applyFont="1" applyAlignment="1">
      <alignment/>
    </xf>
    <xf numFmtId="0" fontId="39" fillId="0" borderId="0" xfId="0" applyFont="1" applyBorder="1" applyAlignment="1">
      <alignment/>
    </xf>
    <xf numFmtId="43" fontId="39" fillId="0" borderId="1" xfId="17" applyFont="1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 horizontal="left" indent="6"/>
    </xf>
    <xf numFmtId="0" fontId="39" fillId="0" borderId="0" xfId="0" applyFont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4" xfId="0" applyFont="1" applyBorder="1" applyAlignment="1">
      <alignment/>
    </xf>
    <xf numFmtId="0" fontId="38" fillId="0" borderId="8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200" fontId="38" fillId="0" borderId="27" xfId="17" applyNumberFormat="1" applyFont="1" applyBorder="1" applyAlignment="1">
      <alignment/>
    </xf>
    <xf numFmtId="49" fontId="38" fillId="0" borderId="28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200" fontId="38" fillId="0" borderId="2" xfId="17" applyNumberFormat="1" applyFont="1" applyBorder="1" applyAlignment="1">
      <alignment/>
    </xf>
    <xf numFmtId="49" fontId="38" fillId="0" borderId="9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200" fontId="38" fillId="0" borderId="6" xfId="17" applyNumberFormat="1" applyFont="1" applyBorder="1" applyAlignment="1">
      <alignment/>
    </xf>
    <xf numFmtId="49" fontId="38" fillId="0" borderId="6" xfId="0" applyNumberFormat="1" applyFont="1" applyBorder="1" applyAlignment="1">
      <alignment horizontal="center"/>
    </xf>
    <xf numFmtId="200" fontId="38" fillId="0" borderId="4" xfId="17" applyNumberFormat="1" applyFont="1" applyBorder="1" applyAlignment="1">
      <alignment/>
    </xf>
    <xf numFmtId="49" fontId="38" fillId="0" borderId="8" xfId="0" applyNumberFormat="1" applyFont="1" applyBorder="1" applyAlignment="1">
      <alignment horizontal="center"/>
    </xf>
    <xf numFmtId="49" fontId="38" fillId="0" borderId="4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200" fontId="38" fillId="0" borderId="13" xfId="17" applyNumberFormat="1" applyFont="1" applyBorder="1" applyAlignment="1">
      <alignment/>
    </xf>
    <xf numFmtId="49" fontId="38" fillId="0" borderId="7" xfId="0" applyNumberFormat="1" applyFont="1" applyBorder="1" applyAlignment="1">
      <alignment horizontal="center"/>
    </xf>
    <xf numFmtId="200" fontId="38" fillId="0" borderId="29" xfId="17" applyNumberFormat="1" applyFont="1" applyBorder="1" applyAlignment="1">
      <alignment/>
    </xf>
    <xf numFmtId="200" fontId="39" fillId="0" borderId="6" xfId="17" applyNumberFormat="1" applyFont="1" applyBorder="1" applyAlignment="1">
      <alignment/>
    </xf>
    <xf numFmtId="0" fontId="38" fillId="0" borderId="4" xfId="0" applyFont="1" applyBorder="1" applyAlignment="1">
      <alignment horizontal="center"/>
    </xf>
    <xf numFmtId="200" fontId="39" fillId="0" borderId="30" xfId="17" applyNumberFormat="1" applyFont="1" applyBorder="1" applyAlignment="1">
      <alignment/>
    </xf>
    <xf numFmtId="49" fontId="39" fillId="0" borderId="30" xfId="0" applyNumberFormat="1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200" fontId="38" fillId="0" borderId="7" xfId="17" applyNumberFormat="1" applyFont="1" applyBorder="1" applyAlignment="1">
      <alignment/>
    </xf>
    <xf numFmtId="0" fontId="38" fillId="0" borderId="7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43" fontId="39" fillId="0" borderId="0" xfId="17" applyFont="1" applyBorder="1" applyAlignment="1">
      <alignment/>
    </xf>
    <xf numFmtId="43" fontId="39" fillId="0" borderId="1" xfId="0" applyNumberFormat="1" applyFont="1" applyBorder="1" applyAlignment="1">
      <alignment/>
    </xf>
    <xf numFmtId="43" fontId="39" fillId="0" borderId="0" xfId="17" applyNumberFormat="1" applyFont="1" applyAlignment="1">
      <alignment/>
    </xf>
    <xf numFmtId="43" fontId="39" fillId="0" borderId="0" xfId="17" applyFont="1" applyAlignment="1">
      <alignment/>
    </xf>
    <xf numFmtId="43" fontId="39" fillId="0" borderId="0" xfId="17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38" fillId="0" borderId="31" xfId="17" applyFont="1" applyBorder="1" applyAlignment="1">
      <alignment/>
    </xf>
    <xf numFmtId="0" fontId="38" fillId="0" borderId="32" xfId="0" applyFont="1" applyBorder="1" applyAlignment="1">
      <alignment/>
    </xf>
    <xf numFmtId="0" fontId="38" fillId="0" borderId="31" xfId="0" applyFont="1" applyBorder="1" applyAlignment="1">
      <alignment/>
    </xf>
    <xf numFmtId="43" fontId="38" fillId="0" borderId="2" xfId="17" applyFont="1" applyBorder="1" applyAlignment="1">
      <alignment/>
    </xf>
    <xf numFmtId="0" fontId="38" fillId="0" borderId="33" xfId="0" applyFont="1" applyBorder="1" applyAlignment="1">
      <alignment/>
    </xf>
    <xf numFmtId="0" fontId="38" fillId="0" borderId="2" xfId="0" applyFont="1" applyBorder="1" applyAlignment="1">
      <alignment/>
    </xf>
    <xf numFmtId="43" fontId="38" fillId="0" borderId="2" xfId="17" applyNumberFormat="1" applyFont="1" applyBorder="1" applyAlignment="1">
      <alignment/>
    </xf>
    <xf numFmtId="43" fontId="38" fillId="0" borderId="33" xfId="17" applyNumberFormat="1" applyFont="1" applyBorder="1" applyAlignment="1">
      <alignment/>
    </xf>
    <xf numFmtId="0" fontId="38" fillId="0" borderId="0" xfId="0" applyFont="1" applyAlignment="1" quotePrefix="1">
      <alignment/>
    </xf>
    <xf numFmtId="0" fontId="40" fillId="0" borderId="0" xfId="0" applyFont="1" applyAlignment="1">
      <alignment/>
    </xf>
    <xf numFmtId="43" fontId="38" fillId="0" borderId="7" xfId="17" applyFont="1" applyBorder="1" applyAlignment="1">
      <alignment/>
    </xf>
    <xf numFmtId="43" fontId="39" fillId="0" borderId="34" xfId="17" applyNumberFormat="1" applyFont="1" applyBorder="1" applyAlignment="1">
      <alignment/>
    </xf>
    <xf numFmtId="43" fontId="39" fillId="0" borderId="35" xfId="17" applyFont="1" applyBorder="1" applyAlignment="1">
      <alignment/>
    </xf>
    <xf numFmtId="43" fontId="38" fillId="0" borderId="0" xfId="17" applyNumberFormat="1" applyFont="1" applyBorder="1" applyAlignment="1">
      <alignment/>
    </xf>
    <xf numFmtId="43" fontId="39" fillId="0" borderId="0" xfId="17" applyNumberFormat="1" applyFont="1" applyBorder="1" applyAlignment="1">
      <alignment/>
    </xf>
    <xf numFmtId="0" fontId="38" fillId="0" borderId="0" xfId="0" applyFont="1" applyAlignment="1">
      <alignment/>
    </xf>
    <xf numFmtId="43" fontId="38" fillId="0" borderId="9" xfId="17" applyFont="1" applyBorder="1" applyAlignment="1">
      <alignment/>
    </xf>
    <xf numFmtId="0" fontId="38" fillId="0" borderId="0" xfId="0" applyFont="1" applyAlignment="1">
      <alignment horizontal="right"/>
    </xf>
    <xf numFmtId="43" fontId="38" fillId="0" borderId="36" xfId="17" applyNumberFormat="1" applyFont="1" applyBorder="1" applyAlignment="1">
      <alignment/>
    </xf>
    <xf numFmtId="43" fontId="38" fillId="0" borderId="0" xfId="17" applyFont="1" applyAlignment="1">
      <alignment horizontal="center"/>
    </xf>
    <xf numFmtId="0" fontId="40" fillId="0" borderId="0" xfId="0" applyFont="1" applyAlignment="1">
      <alignment horizontal="right"/>
    </xf>
    <xf numFmtId="43" fontId="39" fillId="0" borderId="0" xfId="17" applyFont="1" applyAlignment="1">
      <alignment horizontal="center"/>
    </xf>
    <xf numFmtId="43" fontId="40" fillId="0" borderId="0" xfId="17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2" xfId="0" applyFont="1" applyBorder="1" applyAlignment="1">
      <alignment/>
    </xf>
    <xf numFmtId="49" fontId="43" fillId="0" borderId="2" xfId="0" applyNumberFormat="1" applyFont="1" applyBorder="1" applyAlignment="1">
      <alignment horizontal="center"/>
    </xf>
    <xf numFmtId="200" fontId="43" fillId="0" borderId="37" xfId="17" applyNumberFormat="1" applyFont="1" applyBorder="1" applyAlignment="1">
      <alignment/>
    </xf>
    <xf numFmtId="49" fontId="43" fillId="0" borderId="38" xfId="0" applyNumberFormat="1" applyFont="1" applyBorder="1" applyAlignment="1">
      <alignment horizontal="center"/>
    </xf>
    <xf numFmtId="49" fontId="43" fillId="0" borderId="39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200" fontId="43" fillId="0" borderId="40" xfId="17" applyNumberFormat="1" applyFont="1" applyBorder="1" applyAlignment="1">
      <alignment/>
    </xf>
    <xf numFmtId="200" fontId="42" fillId="0" borderId="41" xfId="17" applyNumberFormat="1" applyFont="1" applyBorder="1" applyAlignment="1">
      <alignment/>
    </xf>
    <xf numFmtId="49" fontId="42" fillId="0" borderId="42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9" fontId="39" fillId="0" borderId="6" xfId="0" applyNumberFormat="1" applyFont="1" applyBorder="1" applyAlignment="1">
      <alignment horizontal="center"/>
    </xf>
    <xf numFmtId="43" fontId="38" fillId="0" borderId="43" xfId="17" applyNumberFormat="1" applyFont="1" applyBorder="1" applyAlignment="1">
      <alignment/>
    </xf>
    <xf numFmtId="43" fontId="38" fillId="0" borderId="44" xfId="17" applyFont="1" applyBorder="1" applyAlignment="1">
      <alignment/>
    </xf>
    <xf numFmtId="43" fontId="38" fillId="0" borderId="0" xfId="17" applyFont="1" applyAlignment="1">
      <alignment horizontal="center"/>
    </xf>
    <xf numFmtId="43" fontId="39" fillId="0" borderId="0" xfId="17" applyFont="1" applyAlignment="1">
      <alignment horizontal="right"/>
    </xf>
    <xf numFmtId="43" fontId="39" fillId="0" borderId="0" xfId="17" applyFont="1" applyAlignment="1">
      <alignment horizontal="center"/>
    </xf>
    <xf numFmtId="43" fontId="39" fillId="0" borderId="1" xfId="17" applyFont="1" applyBorder="1" applyAlignment="1">
      <alignment horizontal="center"/>
    </xf>
    <xf numFmtId="43" fontId="38" fillId="0" borderId="0" xfId="17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46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42" fillId="0" borderId="4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49" fontId="42" fillId="0" borderId="4" xfId="0" applyNumberFormat="1" applyFont="1" applyBorder="1" applyAlignment="1">
      <alignment horizontal="center" vertical="center"/>
    </xf>
    <xf numFmtId="49" fontId="42" fillId="0" borderId="7" xfId="0" applyNumberFormat="1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4" xfId="17" applyFont="1" applyBorder="1" applyAlignment="1">
      <alignment horizontal="center" vertical="top"/>
    </xf>
    <xf numFmtId="43" fontId="4" fillId="0" borderId="7" xfId="17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9" xfId="0" applyFont="1" applyBorder="1" applyAlignment="1">
      <alignment horizontal="left" vertical="top" wrapText="1" indent="1"/>
    </xf>
    <xf numFmtId="0" fontId="10" fillId="0" borderId="10" xfId="0" applyFont="1" applyBorder="1" applyAlignment="1">
      <alignment horizontal="left" vertical="top" wrapText="1" indent="1"/>
    </xf>
    <xf numFmtId="43" fontId="1" fillId="0" borderId="3" xfId="17" applyFont="1" applyBorder="1" applyAlignment="1">
      <alignment horizontal="center"/>
    </xf>
    <xf numFmtId="43" fontId="1" fillId="0" borderId="15" xfId="17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10" fillId="0" borderId="21" xfId="17" applyFont="1" applyBorder="1" applyAlignment="1">
      <alignment horizontal="center"/>
    </xf>
    <xf numFmtId="43" fontId="10" fillId="0" borderId="49" xfId="17" applyFont="1" applyBorder="1" applyAlignment="1">
      <alignment horizontal="center"/>
    </xf>
    <xf numFmtId="0" fontId="4" fillId="0" borderId="0" xfId="21" applyFont="1" applyAlignment="1">
      <alignment horizont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/>
      <protection/>
    </xf>
    <xf numFmtId="43" fontId="3" fillId="0" borderId="6" xfId="17" applyFont="1" applyBorder="1" applyAlignment="1">
      <alignment horizontal="center" vertical="center"/>
    </xf>
    <xf numFmtId="0" fontId="3" fillId="0" borderId="4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0" fillId="0" borderId="16" xfId="17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30" fillId="0" borderId="0" xfId="17" applyFont="1" applyBorder="1" applyAlignment="1">
      <alignment horizontal="center"/>
    </xf>
    <xf numFmtId="43" fontId="30" fillId="0" borderId="9" xfId="17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จ่ายขาดเงินสะสมปี255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napa\pennapa\&#3591;&#3610;&#3585;&#3634;&#3619;&#3648;&#3591;&#3636;&#3609;\&#3591;&#3610;&#3648;&#3604;&#3639;&#3629;&#3609;\&#3591;&#3610;&#3648;&#3604;&#3639;&#3629;&#3609;%20&#3617;.&#3588;.25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napa\pennapa\&#3591;&#3610;&#3585;&#3634;&#3619;&#3648;&#3591;&#3636;&#3609;\&#3591;&#3610;&#3648;&#3604;&#3639;&#3629;&#3609;\&#3591;&#3610;&#3648;&#3604;&#3639;&#3629;&#3609;%20&#3614;.&#3588;.25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nnapa\pennapa\&#3591;&#3610;&#3585;&#3634;&#3619;&#3648;&#3591;&#3636;&#3609;\&#3591;&#3610;&#3648;&#3604;&#3639;&#3629;&#3609;\&#3591;&#3610;&#3648;&#3604;&#3639;&#3629;&#3609;%20&#3585;.&#3618;.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nnapa\&#3591;&#3610;&#3585;&#3634;&#3619;&#3648;&#3591;&#3636;&#3609;\&#3591;&#3610;&#3648;&#3604;&#3639;&#3629;&#3609;\&#3591;&#3610;&#3648;&#3604;&#3639;&#3629;&#3609;%20&#3617;.&#3588;.%20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nnapa\&#3591;&#3610;&#3585;&#3634;&#3619;&#3648;&#3591;&#3636;&#3609;\&#3591;&#3610;&#3648;&#3604;&#3639;&#3629;&#3609;\&#3591;&#3610;&#3648;&#3604;&#3639;&#3629;&#3609;%20&#3614;.&#3588;.%20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nnapa\&#3591;&#3610;&#3585;&#3634;&#3619;&#3648;&#3591;&#3636;&#3609;\&#3591;&#3610;&#3648;&#3604;&#3639;&#3629;&#3609;\&#3591;&#3610;&#3648;&#3604;&#3639;&#3629;&#3609;%20&#3585;.&#3618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3 ช่อง ธ.ค."/>
      <sheetName val="3 ช่อง  ม.ค."/>
      <sheetName val="สำรองเงินรายรับ"/>
      <sheetName val="รายงานงบรับ-จ่าย ธ.ค."/>
      <sheetName val="รายงานงบรับ-จ่าย "/>
      <sheetName val="รายงานกระแสเงินสด ธ.ค."/>
      <sheetName val="รายงานกระแสเงินสด"/>
      <sheetName val="รายละเอียดประกอบงบทดลอง"/>
      <sheetName val="งบกระทบยอด"/>
      <sheetName val="จ่ายจากสำรองเงินรายรับ"/>
      <sheetName val="จ่ายจากเงินรายรับ"/>
      <sheetName val="งบประมาณคงเหลือ"/>
      <sheetName val="โอนงบประมาณรายจ่าย"/>
    </sheetNames>
    <sheetDataSet>
      <sheetData sheetId="11">
        <row r="122">
          <cell r="I122">
            <v>0</v>
          </cell>
          <cell r="O1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3ช่องเม.ย."/>
      <sheetName val="3ช่อง"/>
      <sheetName val="สำรองเงินรายรับ"/>
      <sheetName val="รายงานงบรับ-จ่าย เม.ย."/>
      <sheetName val="รายงานงบรับ-จ่าย "/>
      <sheetName val="รายงานกระแสเงินสดเม.ย."/>
      <sheetName val="รายงานกระแสเงินสด"/>
      <sheetName val="รายละเอียดประกอบงบทดลอง"/>
      <sheetName val="งบกระทบยอด"/>
      <sheetName val="จ่ายจากสำรองเงินรายรับ"/>
      <sheetName val="จ่ายจากเงินรายรับ เม.ย."/>
      <sheetName val="จ่ายจากเงินรายรับ พ.ค."/>
      <sheetName val="งบประมาณคงเหลือ เม.ย."/>
      <sheetName val="งบประมาณคงเหลือ พ.ค."/>
      <sheetName val="โอนงบประมาณรายจ่าย"/>
      <sheetName val="จ่ายจากเงินรายรับ"/>
    </sheetNames>
    <sheetDataSet>
      <sheetData sheetId="12">
        <row r="26"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</row>
        <row r="30">
          <cell r="R30">
            <v>0</v>
          </cell>
          <cell r="S30">
            <v>0</v>
          </cell>
          <cell r="U30">
            <v>0</v>
          </cell>
          <cell r="V30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P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</row>
        <row r="50"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</row>
        <row r="84">
          <cell r="K84">
            <v>0</v>
          </cell>
          <cell r="L84">
            <v>0</v>
          </cell>
        </row>
        <row r="90">
          <cell r="N90">
            <v>0</v>
          </cell>
        </row>
        <row r="108">
          <cell r="M108">
            <v>0</v>
          </cell>
          <cell r="N108">
            <v>0</v>
          </cell>
          <cell r="P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ทดลองหลังปิดบัญชี"/>
      <sheetName val="3ช่อง ส.ค."/>
      <sheetName val="3ช่อง"/>
      <sheetName val="สำรองเงินรายรับ"/>
      <sheetName val="รายงานงบรับ-จ่าย ส.ค."/>
      <sheetName val="รายงานงบรับ-จ่าย "/>
      <sheetName val="รายงานกระแสเงินสด ส.ค."/>
      <sheetName val="รายงานกระแสเงินสด"/>
      <sheetName val="รายละเอียดประกอบงบทดลอง"/>
      <sheetName val="งบกระทบยอด"/>
      <sheetName val="จ่ายจากสำรองเงินรายรับ"/>
      <sheetName val="จ่ายจากเงินรายรับ มิ.ย."/>
      <sheetName val="จ่ายจากเงินรายรับ ก.ค."/>
      <sheetName val="จ่ายจากเงินรายรับ ส.ค."/>
      <sheetName val="จ่ายจากเงินรายรับ ก.ย."/>
      <sheetName val="งบประมาณคงเหลือ มิ.ย."/>
      <sheetName val="งบประมาณคงเหลือ ก.ค."/>
      <sheetName val="งบประมาณคงเหลือ ส.ค."/>
      <sheetName val="งบประมาณคงเหลือ ก.ย."/>
      <sheetName val="โอนงบประมาณรายจ่าย"/>
    </sheetNames>
    <sheetDataSet>
      <sheetData sheetId="11">
        <row r="30">
          <cell r="K30">
            <v>0</v>
          </cell>
        </row>
      </sheetData>
      <sheetData sheetId="15">
        <row r="30">
          <cell r="C30">
            <v>0</v>
          </cell>
          <cell r="F30">
            <v>0</v>
          </cell>
        </row>
        <row r="34">
          <cell r="C34">
            <v>0</v>
          </cell>
          <cell r="F34">
            <v>0</v>
          </cell>
        </row>
        <row r="50">
          <cell r="C50">
            <v>0</v>
          </cell>
          <cell r="F50">
            <v>0</v>
          </cell>
        </row>
        <row r="77">
          <cell r="I77">
            <v>0</v>
          </cell>
        </row>
        <row r="108">
          <cell r="I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3ช่อง ธ.ค."/>
      <sheetName val="3ช่อง"/>
      <sheetName val="สำรองเงินรายรับ"/>
      <sheetName val="รายงานงบรับ-จ่าย ธ.ค."/>
      <sheetName val="รายงานงบรับ-จ่าย "/>
      <sheetName val="รายงานกระแสเงินสด ธ.ค."/>
      <sheetName val="รายงานกระแสเงินสด"/>
      <sheetName val="รายละเอียดประกอบงบทดลอง"/>
      <sheetName val="งบกระทบยอด"/>
      <sheetName val="จ่ายจากสำรองเงินรายรับ"/>
      <sheetName val="จ่ายจากเงินรายรับ ธ.ค. "/>
      <sheetName val="จ่ายจากเงินรายรับ ม.ค."/>
      <sheetName val="งบประมาณคงเหลือ ธ.ค."/>
      <sheetName val="งบประมาณคงเหลือ ม.ค."/>
      <sheetName val="โอนงบประมาณรายจ่าย"/>
      <sheetName val="จ่ายจากเงินรายรับ .ค."/>
      <sheetName val="จ่ายจากเงินรายรับ พ.ค."/>
      <sheetName val="งบประมาณคงเหลือ .ค."/>
      <sheetName val="งบประมาณคงเหลือ พ.ค."/>
    </sheetNames>
    <sheetDataSet>
      <sheetData sheetId="12">
        <row r="26">
          <cell r="H26">
            <v>0</v>
          </cell>
        </row>
        <row r="58">
          <cell r="V58">
            <v>0</v>
          </cell>
        </row>
        <row r="78">
          <cell r="V78">
            <v>0</v>
          </cell>
        </row>
        <row r="110">
          <cell r="V110">
            <v>0</v>
          </cell>
          <cell r="X110">
            <v>0</v>
          </cell>
          <cell r="Y110">
            <v>0</v>
          </cell>
          <cell r="Z110">
            <v>0</v>
          </cell>
        </row>
        <row r="124">
          <cell r="K124">
            <v>0</v>
          </cell>
          <cell r="L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</sheetData>
      <sheetData sheetId="14">
        <row r="101">
          <cell r="X101">
            <v>0</v>
          </cell>
          <cell r="Y101">
            <v>0</v>
          </cell>
          <cell r="Z101">
            <v>0</v>
          </cell>
        </row>
        <row r="114"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3ช่อง เม.ย."/>
      <sheetName val="3ช่อง"/>
      <sheetName val="สำรองเงินรายรับ"/>
      <sheetName val="รายงานงบรับ-จ่าย  เม.ย."/>
      <sheetName val="รายงานงบรับ-จ่าย "/>
      <sheetName val="รายงานกระแสเงินสด เม.ย."/>
      <sheetName val="รายงานกระแสเงินสด"/>
      <sheetName val="รายละเอียดประกอบงบทดลอง"/>
      <sheetName val="งบกระทบยอด"/>
      <sheetName val="จ่ายจากสำรองเงินรายรับ"/>
      <sheetName val="จ่ายจากเงินรายรับ เม.ย."/>
      <sheetName val="จ่ายจากเงินรายรับ พ.ค."/>
      <sheetName val="งบประมาณคงเหลือ เม.ย."/>
      <sheetName val="งบประมาณคงเหลือ พ.ค."/>
      <sheetName val="โอนงบประมาณรายจ่าย"/>
    </sheetNames>
    <sheetDataSet>
      <sheetData sheetId="12">
        <row r="26">
          <cell r="P26">
            <v>0</v>
          </cell>
        </row>
        <row r="30">
          <cell r="O30">
            <v>0</v>
          </cell>
        </row>
        <row r="50">
          <cell r="H50">
            <v>0</v>
          </cell>
        </row>
        <row r="58">
          <cell r="I58">
            <v>0</v>
          </cell>
          <cell r="U58">
            <v>0</v>
          </cell>
        </row>
        <row r="78">
          <cell r="J78">
            <v>0</v>
          </cell>
          <cell r="L78">
            <v>0</v>
          </cell>
          <cell r="U78">
            <v>0</v>
          </cell>
          <cell r="X78">
            <v>0</v>
          </cell>
          <cell r="Y78">
            <v>0</v>
          </cell>
        </row>
        <row r="85"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T85">
            <v>0</v>
          </cell>
          <cell r="U85">
            <v>0</v>
          </cell>
        </row>
        <row r="91">
          <cell r="E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110">
          <cell r="O110">
            <v>0</v>
          </cell>
          <cell r="U110">
            <v>0</v>
          </cell>
          <cell r="X110">
            <v>0</v>
          </cell>
          <cell r="Y110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W124">
            <v>0</v>
          </cell>
          <cell r="X124">
            <v>0</v>
          </cell>
          <cell r="Y124">
            <v>0</v>
          </cell>
        </row>
      </sheetData>
      <sheetData sheetId="14">
        <row r="27">
          <cell r="O27">
            <v>0</v>
          </cell>
        </row>
        <row r="78">
          <cell r="O78">
            <v>0</v>
          </cell>
          <cell r="P78">
            <v>0</v>
          </cell>
          <cell r="R78">
            <v>0</v>
          </cell>
        </row>
        <row r="83">
          <cell r="E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114">
          <cell r="E114">
            <v>0</v>
          </cell>
          <cell r="F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ทดลองหลังปิดบัญชี"/>
      <sheetName val="3ช่อง.ส.ค."/>
      <sheetName val="3ช่อง."/>
      <sheetName val="สำรองเงินรายรับ"/>
      <sheetName val="รายงานงบรับ-จ่าย  ส.ค."/>
      <sheetName val="รายงานงบรับ-จ่าย "/>
      <sheetName val="รายงานกระแสเงินสด ส.ค."/>
      <sheetName val="รายงานกระแสเงินสด"/>
      <sheetName val="รายละเอียดประกอบงบทดลอง"/>
      <sheetName val="งบกระทบยอด"/>
      <sheetName val="จ่ายจากสำรองเงินรายรับ"/>
      <sheetName val="จ่ายจากเงินรายรับ ส.ค."/>
      <sheetName val="จ่ายจากเงินรายรับ ก.ย."/>
      <sheetName val="งบประมาณคงเหลือ ส.ค"/>
      <sheetName val="งบประมาณคงเหลือ ก.ย."/>
      <sheetName val="โอนงบประมาณรายจ่าย"/>
    </sheetNames>
    <sheetDataSet>
      <sheetData sheetId="3">
        <row r="58">
          <cell r="D58">
            <v>165822.97999999998</v>
          </cell>
        </row>
        <row r="72">
          <cell r="D72">
            <v>104828</v>
          </cell>
        </row>
        <row r="76">
          <cell r="D76">
            <v>45845</v>
          </cell>
        </row>
        <row r="96">
          <cell r="D96">
            <v>12150757.280000001</v>
          </cell>
        </row>
        <row r="103">
          <cell r="D103">
            <v>17899454.48</v>
          </cell>
        </row>
      </sheetData>
      <sheetData sheetId="6">
        <row r="9">
          <cell r="A9">
            <v>588000</v>
          </cell>
        </row>
        <row r="10">
          <cell r="A10">
            <v>324900</v>
          </cell>
        </row>
        <row r="11">
          <cell r="A11">
            <v>258250</v>
          </cell>
        </row>
        <row r="13">
          <cell r="A13">
            <v>127500</v>
          </cell>
        </row>
        <row r="14">
          <cell r="A14">
            <v>31000</v>
          </cell>
        </row>
        <row r="15">
          <cell r="A15">
            <v>18354758</v>
          </cell>
        </row>
        <row r="16">
          <cell r="A16">
            <v>17899454</v>
          </cell>
        </row>
      </sheetData>
      <sheetData sheetId="13">
        <row r="20">
          <cell r="AA20">
            <v>1011389.95</v>
          </cell>
          <cell r="AB20">
            <v>1011389.95</v>
          </cell>
        </row>
        <row r="26">
          <cell r="B26">
            <v>1638254</v>
          </cell>
          <cell r="C26">
            <v>0</v>
          </cell>
          <cell r="D26">
            <v>834370</v>
          </cell>
          <cell r="E26">
            <v>148300</v>
          </cell>
          <cell r="G26">
            <v>496115</v>
          </cell>
          <cell r="K26">
            <v>348620</v>
          </cell>
          <cell r="O26">
            <v>160600</v>
          </cell>
          <cell r="Q26">
            <v>591908</v>
          </cell>
        </row>
        <row r="30">
          <cell r="B30">
            <v>271000</v>
          </cell>
          <cell r="C30">
            <v>0</v>
          </cell>
          <cell r="D30">
            <v>126264</v>
          </cell>
          <cell r="E30">
            <v>236580</v>
          </cell>
          <cell r="Q30">
            <v>110430</v>
          </cell>
        </row>
        <row r="34">
          <cell r="B34">
            <v>144340</v>
          </cell>
          <cell r="C34">
            <v>0</v>
          </cell>
          <cell r="D34">
            <v>75460</v>
          </cell>
          <cell r="E34">
            <v>664085</v>
          </cell>
          <cell r="G34">
            <v>223860</v>
          </cell>
          <cell r="H34">
            <v>212160</v>
          </cell>
          <cell r="K34">
            <v>857340</v>
          </cell>
          <cell r="O34">
            <v>94900</v>
          </cell>
          <cell r="Q34">
            <v>526314</v>
          </cell>
        </row>
        <row r="50">
          <cell r="B50">
            <v>2330635</v>
          </cell>
          <cell r="C50">
            <v>0</v>
          </cell>
          <cell r="D50">
            <v>43993</v>
          </cell>
          <cell r="E50">
            <v>82217</v>
          </cell>
          <cell r="G50">
            <v>7046</v>
          </cell>
          <cell r="K50">
            <v>835</v>
          </cell>
          <cell r="O50">
            <v>1800</v>
          </cell>
          <cell r="Q50">
            <v>65101</v>
          </cell>
        </row>
        <row r="58">
          <cell r="B58">
            <v>1151189.1600000001</v>
          </cell>
          <cell r="C58">
            <v>40000</v>
          </cell>
          <cell r="D58">
            <v>278594</v>
          </cell>
          <cell r="E58">
            <v>211397</v>
          </cell>
          <cell r="F58">
            <v>10000</v>
          </cell>
          <cell r="G58">
            <v>61589.05</v>
          </cell>
          <cell r="H58">
            <v>851545</v>
          </cell>
          <cell r="I58">
            <v>0</v>
          </cell>
          <cell r="J58">
            <v>164589</v>
          </cell>
          <cell r="K58">
            <v>205171.9</v>
          </cell>
          <cell r="L58">
            <v>128826</v>
          </cell>
          <cell r="M58">
            <v>269900</v>
          </cell>
          <cell r="N58">
            <v>0</v>
          </cell>
          <cell r="O58">
            <v>377084</v>
          </cell>
          <cell r="P58">
            <v>1726100</v>
          </cell>
          <cell r="Q58">
            <v>234881.4</v>
          </cell>
          <cell r="R58">
            <v>116315</v>
          </cell>
          <cell r="S58">
            <v>258500</v>
          </cell>
          <cell r="T58">
            <v>91512</v>
          </cell>
          <cell r="U58">
            <v>0</v>
          </cell>
          <cell r="V58">
            <v>0</v>
          </cell>
          <cell r="W58">
            <v>483801</v>
          </cell>
          <cell r="X58">
            <v>204895</v>
          </cell>
          <cell r="Y58">
            <v>487685</v>
          </cell>
          <cell r="Z58">
            <v>0</v>
          </cell>
        </row>
        <row r="78">
          <cell r="B78">
            <v>236198.58000000002</v>
          </cell>
          <cell r="C78">
            <v>34090</v>
          </cell>
          <cell r="D78">
            <v>87683</v>
          </cell>
          <cell r="E78">
            <v>511773.94000000006</v>
          </cell>
          <cell r="F78">
            <v>378991.5</v>
          </cell>
          <cell r="G78">
            <v>76480</v>
          </cell>
          <cell r="H78">
            <v>905708</v>
          </cell>
          <cell r="I78">
            <v>0</v>
          </cell>
          <cell r="J78">
            <v>0</v>
          </cell>
          <cell r="K78">
            <v>20288</v>
          </cell>
          <cell r="L78">
            <v>0</v>
          </cell>
          <cell r="M78">
            <v>21400</v>
          </cell>
          <cell r="N78">
            <v>0</v>
          </cell>
          <cell r="O78">
            <v>8400</v>
          </cell>
          <cell r="P78">
            <v>28132</v>
          </cell>
          <cell r="Q78">
            <v>707541.13</v>
          </cell>
          <cell r="R78">
            <v>396304.27</v>
          </cell>
          <cell r="S78">
            <v>57101</v>
          </cell>
          <cell r="T78">
            <v>182077</v>
          </cell>
          <cell r="U78">
            <v>0</v>
          </cell>
          <cell r="V78">
            <v>0</v>
          </cell>
          <cell r="W78">
            <v>5483.7</v>
          </cell>
          <cell r="X78">
            <v>0</v>
          </cell>
          <cell r="Y78">
            <v>0</v>
          </cell>
          <cell r="Z78">
            <v>0</v>
          </cell>
        </row>
        <row r="85">
          <cell r="B85">
            <v>384074.25</v>
          </cell>
          <cell r="C85">
            <v>14124</v>
          </cell>
          <cell r="D85">
            <v>23817.73</v>
          </cell>
          <cell r="E85">
            <v>70492.5</v>
          </cell>
          <cell r="F85">
            <v>0</v>
          </cell>
          <cell r="G85">
            <v>0</v>
          </cell>
          <cell r="H85">
            <v>42180.92</v>
          </cell>
          <cell r="I85">
            <v>0</v>
          </cell>
          <cell r="J85">
            <v>0</v>
          </cell>
          <cell r="Q85">
            <v>0</v>
          </cell>
          <cell r="S85">
            <v>9059.71</v>
          </cell>
        </row>
        <row r="91">
          <cell r="B91">
            <v>35000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577500</v>
          </cell>
          <cell r="I91">
            <v>0</v>
          </cell>
          <cell r="J91">
            <v>20000</v>
          </cell>
          <cell r="K91">
            <v>0</v>
          </cell>
          <cell r="L91">
            <v>58000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T91">
            <v>0</v>
          </cell>
          <cell r="V91">
            <v>0</v>
          </cell>
          <cell r="W91">
            <v>400000</v>
          </cell>
          <cell r="X91">
            <v>120000</v>
          </cell>
          <cell r="Y91">
            <v>105000</v>
          </cell>
          <cell r="Z91">
            <v>0</v>
          </cell>
        </row>
        <row r="110">
          <cell r="B110">
            <v>2512955</v>
          </cell>
          <cell r="C110">
            <v>8200</v>
          </cell>
          <cell r="D110">
            <v>12500</v>
          </cell>
          <cell r="E110">
            <v>173933.3</v>
          </cell>
          <cell r="F110">
            <v>122800</v>
          </cell>
          <cell r="G110">
            <v>48000</v>
          </cell>
          <cell r="H110">
            <v>60500</v>
          </cell>
          <cell r="I110">
            <v>0</v>
          </cell>
          <cell r="J110">
            <v>44150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P110">
            <v>0</v>
          </cell>
          <cell r="Q110">
            <v>2429848</v>
          </cell>
          <cell r="R110">
            <v>0</v>
          </cell>
          <cell r="S110">
            <v>0</v>
          </cell>
          <cell r="T110">
            <v>8400</v>
          </cell>
          <cell r="U110">
            <v>0</v>
          </cell>
          <cell r="V110">
            <v>0</v>
          </cell>
          <cell r="W110">
            <v>0</v>
          </cell>
        </row>
        <row r="124">
          <cell r="B124">
            <v>149000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96200</v>
          </cell>
          <cell r="I124">
            <v>0</v>
          </cell>
          <cell r="J124">
            <v>0</v>
          </cell>
          <cell r="Q124">
            <v>150000</v>
          </cell>
          <cell r="R124">
            <v>1079000</v>
          </cell>
          <cell r="S124">
            <v>181000</v>
          </cell>
          <cell r="T124">
            <v>0</v>
          </cell>
          <cell r="U124">
            <v>0</v>
          </cell>
        </row>
      </sheetData>
      <sheetData sheetId="15">
        <row r="19">
          <cell r="AA19">
            <v>330869.05000000005</v>
          </cell>
        </row>
        <row r="24">
          <cell r="B24">
            <v>253446</v>
          </cell>
          <cell r="C24">
            <v>0</v>
          </cell>
          <cell r="D24">
            <v>10750</v>
          </cell>
          <cell r="E24">
            <v>36700</v>
          </cell>
          <cell r="G24">
            <v>105005</v>
          </cell>
          <cell r="K24">
            <v>99680</v>
          </cell>
          <cell r="O24">
            <v>0</v>
          </cell>
          <cell r="Q24">
            <v>130172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50920</v>
          </cell>
          <cell r="Q27">
            <v>25350</v>
          </cell>
        </row>
        <row r="30">
          <cell r="B30">
            <v>4060</v>
          </cell>
          <cell r="C30">
            <v>0</v>
          </cell>
          <cell r="D30">
            <v>100</v>
          </cell>
          <cell r="E30">
            <v>230935</v>
          </cell>
          <cell r="G30">
            <v>80900</v>
          </cell>
          <cell r="H30">
            <v>0</v>
          </cell>
          <cell r="K30">
            <v>236060</v>
          </cell>
          <cell r="O30">
            <v>2500</v>
          </cell>
          <cell r="Q30">
            <v>138526</v>
          </cell>
        </row>
        <row r="46">
          <cell r="B46">
            <v>33915</v>
          </cell>
          <cell r="C46">
            <v>0</v>
          </cell>
          <cell r="D46">
            <v>16607</v>
          </cell>
          <cell r="E46">
            <v>14333</v>
          </cell>
          <cell r="G46">
            <v>2954</v>
          </cell>
          <cell r="K46">
            <v>114165</v>
          </cell>
          <cell r="O46">
            <v>25200</v>
          </cell>
          <cell r="Q46">
            <v>18159</v>
          </cell>
        </row>
        <row r="53">
          <cell r="B53">
            <v>151810.83999999997</v>
          </cell>
          <cell r="C53">
            <v>60000</v>
          </cell>
          <cell r="D53">
            <v>26406</v>
          </cell>
          <cell r="E53">
            <v>83603</v>
          </cell>
          <cell r="F53">
            <v>0</v>
          </cell>
          <cell r="G53">
            <v>18310.95</v>
          </cell>
          <cell r="H53">
            <v>63480</v>
          </cell>
          <cell r="I53">
            <v>0</v>
          </cell>
          <cell r="J53">
            <v>22911</v>
          </cell>
          <cell r="K53">
            <v>53828.1</v>
          </cell>
          <cell r="L53">
            <v>141174</v>
          </cell>
          <cell r="M53">
            <v>60650</v>
          </cell>
          <cell r="N53">
            <v>80000</v>
          </cell>
          <cell r="O53">
            <v>117916</v>
          </cell>
          <cell r="P53">
            <v>937900</v>
          </cell>
          <cell r="Q53">
            <v>345118.6</v>
          </cell>
          <cell r="R53">
            <v>163685</v>
          </cell>
          <cell r="S53">
            <v>0</v>
          </cell>
          <cell r="T53">
            <v>488</v>
          </cell>
          <cell r="U53">
            <v>0</v>
          </cell>
          <cell r="V53">
            <v>0</v>
          </cell>
          <cell r="W53">
            <v>131199</v>
          </cell>
          <cell r="X53">
            <v>605</v>
          </cell>
          <cell r="Y53">
            <v>1315</v>
          </cell>
          <cell r="Z53">
            <v>0</v>
          </cell>
        </row>
        <row r="72">
          <cell r="B72">
            <v>92801.41999999998</v>
          </cell>
          <cell r="C72">
            <v>10710</v>
          </cell>
          <cell r="D72">
            <v>47317</v>
          </cell>
          <cell r="E72">
            <v>63126.06</v>
          </cell>
          <cell r="F72">
            <v>8.5</v>
          </cell>
          <cell r="G72">
            <v>36520</v>
          </cell>
          <cell r="H72">
            <v>16729</v>
          </cell>
          <cell r="I72">
            <v>0</v>
          </cell>
          <cell r="J72">
            <v>0</v>
          </cell>
          <cell r="K72">
            <v>44712</v>
          </cell>
          <cell r="L72">
            <v>0</v>
          </cell>
          <cell r="M72">
            <v>18600</v>
          </cell>
          <cell r="N72">
            <v>0</v>
          </cell>
          <cell r="O72">
            <v>31600</v>
          </cell>
          <cell r="P72">
            <v>11868</v>
          </cell>
          <cell r="Q72">
            <v>440458.87</v>
          </cell>
          <cell r="R72">
            <v>103695.72999999995</v>
          </cell>
          <cell r="S72">
            <v>242899</v>
          </cell>
          <cell r="T72">
            <v>161923</v>
          </cell>
          <cell r="U72">
            <v>0</v>
          </cell>
          <cell r="V72">
            <v>0</v>
          </cell>
          <cell r="W72">
            <v>40516.3</v>
          </cell>
          <cell r="X72">
            <v>20000</v>
          </cell>
          <cell r="Y72">
            <v>0</v>
          </cell>
          <cell r="Z72">
            <v>0</v>
          </cell>
        </row>
        <row r="78">
          <cell r="B78">
            <v>85925.75</v>
          </cell>
          <cell r="C78">
            <v>876</v>
          </cell>
          <cell r="D78">
            <v>16182.269999999999</v>
          </cell>
          <cell r="E78">
            <v>9507.500000000002</v>
          </cell>
          <cell r="G78">
            <v>0</v>
          </cell>
          <cell r="H78">
            <v>13319.08</v>
          </cell>
          <cell r="I78">
            <v>0</v>
          </cell>
          <cell r="J78">
            <v>0</v>
          </cell>
          <cell r="S78">
            <v>25940.289999999997</v>
          </cell>
        </row>
        <row r="83">
          <cell r="B83">
            <v>30000</v>
          </cell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2000</v>
          </cell>
          <cell r="M83">
            <v>0</v>
          </cell>
          <cell r="N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101">
          <cell r="B101">
            <v>18845</v>
          </cell>
          <cell r="C101">
            <v>0</v>
          </cell>
          <cell r="D101">
            <v>2500</v>
          </cell>
          <cell r="E101">
            <v>2066.699999999997</v>
          </cell>
          <cell r="F101">
            <v>12200</v>
          </cell>
          <cell r="G101">
            <v>0</v>
          </cell>
          <cell r="H101">
            <v>1500</v>
          </cell>
          <cell r="I101">
            <v>0</v>
          </cell>
          <cell r="J101">
            <v>0</v>
          </cell>
          <cell r="O101">
            <v>0</v>
          </cell>
          <cell r="P101">
            <v>0</v>
          </cell>
          <cell r="Q101">
            <v>3857</v>
          </cell>
          <cell r="R101">
            <v>0</v>
          </cell>
          <cell r="S101">
            <v>0</v>
          </cell>
          <cell r="T101">
            <v>21600</v>
          </cell>
          <cell r="U101">
            <v>0</v>
          </cell>
          <cell r="V101">
            <v>0</v>
          </cell>
          <cell r="W101">
            <v>0</v>
          </cell>
        </row>
        <row r="114">
          <cell r="B114">
            <v>1000</v>
          </cell>
          <cell r="C114">
            <v>0</v>
          </cell>
          <cell r="D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H9" sqref="H9"/>
    </sheetView>
  </sheetViews>
  <sheetFormatPr defaultColWidth="9.140625" defaultRowHeight="21.75"/>
  <cols>
    <col min="1" max="1" width="2.421875" style="366" customWidth="1"/>
    <col min="2" max="2" width="35.140625" style="366" customWidth="1"/>
    <col min="3" max="3" width="15.28125" style="367" customWidth="1"/>
    <col min="4" max="4" width="15.28125" style="366" customWidth="1"/>
    <col min="5" max="5" width="4.7109375" style="366" customWidth="1"/>
    <col min="6" max="6" width="21.28125" style="366" customWidth="1"/>
    <col min="7" max="7" width="14.57421875" style="366" customWidth="1"/>
    <col min="8" max="8" width="14.8515625" style="366" customWidth="1"/>
    <col min="9" max="16384" width="9.140625" style="366" customWidth="1"/>
  </cols>
  <sheetData>
    <row r="1" spans="1:8" ht="23.25">
      <c r="A1" s="476"/>
      <c r="B1" s="476"/>
      <c r="C1" s="476"/>
      <c r="D1" s="476"/>
      <c r="E1" s="476"/>
      <c r="F1" s="476"/>
      <c r="G1" s="476"/>
      <c r="H1" s="476"/>
    </row>
    <row r="2" spans="1:8" ht="23.25">
      <c r="A2" s="481" t="s">
        <v>568</v>
      </c>
      <c r="B2" s="481"/>
      <c r="C2" s="481"/>
      <c r="D2" s="481"/>
      <c r="E2" s="481"/>
      <c r="F2" s="481"/>
      <c r="G2" s="481"/>
      <c r="H2" s="481"/>
    </row>
    <row r="3" spans="1:8" ht="23.25">
      <c r="A3" s="481" t="s">
        <v>2</v>
      </c>
      <c r="B3" s="481"/>
      <c r="C3" s="481"/>
      <c r="D3" s="481"/>
      <c r="E3" s="481"/>
      <c r="F3" s="481"/>
      <c r="G3" s="481"/>
      <c r="H3" s="481"/>
    </row>
    <row r="4" spans="1:8" ht="23.25">
      <c r="A4" s="481" t="s">
        <v>640</v>
      </c>
      <c r="B4" s="481"/>
      <c r="C4" s="481"/>
      <c r="D4" s="481"/>
      <c r="E4" s="481"/>
      <c r="F4" s="481"/>
      <c r="G4" s="481"/>
      <c r="H4" s="481"/>
    </row>
    <row r="5" spans="1:8" ht="24" thickBot="1">
      <c r="A5" s="478"/>
      <c r="B5" s="478"/>
      <c r="C5" s="478"/>
      <c r="D5" s="478"/>
      <c r="E5" s="478"/>
      <c r="F5" s="478"/>
      <c r="G5" s="478"/>
      <c r="H5" s="478"/>
    </row>
    <row r="6" spans="1:7" ht="23.25">
      <c r="A6" s="479" t="s">
        <v>3</v>
      </c>
      <c r="B6" s="479"/>
      <c r="C6" s="425"/>
      <c r="D6" s="426"/>
      <c r="E6" s="479" t="s">
        <v>18</v>
      </c>
      <c r="F6" s="479"/>
      <c r="G6" s="427"/>
    </row>
    <row r="7" spans="1:7" ht="15" customHeight="1">
      <c r="A7" s="479"/>
      <c r="B7" s="480"/>
      <c r="C7" s="428"/>
      <c r="D7" s="429"/>
      <c r="E7" s="482"/>
      <c r="F7" s="480"/>
      <c r="G7" s="430"/>
    </row>
    <row r="8" spans="1:8" ht="24" thickBot="1">
      <c r="A8" s="366" t="s">
        <v>588</v>
      </c>
      <c r="C8" s="431"/>
      <c r="D8" s="461">
        <v>10402412.27</v>
      </c>
      <c r="E8" s="366" t="s">
        <v>589</v>
      </c>
      <c r="G8" s="428"/>
      <c r="H8" s="462">
        <v>10402412.27</v>
      </c>
    </row>
    <row r="9" spans="3:8" ht="24" thickTop="1">
      <c r="C9" s="431"/>
      <c r="D9" s="432"/>
      <c r="G9" s="428"/>
      <c r="H9" s="372"/>
    </row>
    <row r="10" spans="1:8" ht="23.25">
      <c r="A10" s="366" t="s">
        <v>656</v>
      </c>
      <c r="C10" s="431"/>
      <c r="D10" s="432">
        <v>26395000</v>
      </c>
      <c r="E10" s="366" t="s">
        <v>657</v>
      </c>
      <c r="G10" s="428"/>
      <c r="H10" s="367">
        <v>26395000</v>
      </c>
    </row>
    <row r="11" spans="1:8" ht="23.25">
      <c r="A11" s="366" t="s">
        <v>590</v>
      </c>
      <c r="C11" s="431"/>
      <c r="D11" s="432">
        <v>23500</v>
      </c>
      <c r="E11" s="366" t="s">
        <v>591</v>
      </c>
      <c r="G11" s="428"/>
      <c r="H11" s="367"/>
    </row>
    <row r="12" spans="1:8" ht="23.25">
      <c r="A12" s="366" t="s">
        <v>592</v>
      </c>
      <c r="C12" s="431"/>
      <c r="D12" s="432"/>
      <c r="E12" s="366" t="s">
        <v>428</v>
      </c>
      <c r="G12" s="428"/>
      <c r="H12" s="367">
        <v>2234485.44</v>
      </c>
    </row>
    <row r="13" spans="1:8" ht="23.25">
      <c r="A13" s="366" t="s">
        <v>593</v>
      </c>
      <c r="C13" s="431"/>
      <c r="D13" s="432"/>
      <c r="E13" s="366" t="s">
        <v>115</v>
      </c>
      <c r="G13" s="428"/>
      <c r="H13" s="367">
        <v>0</v>
      </c>
    </row>
    <row r="14" spans="1:8" ht="23.25">
      <c r="A14" s="366" t="s">
        <v>594</v>
      </c>
      <c r="C14" s="431"/>
      <c r="D14" s="432"/>
      <c r="E14" s="366" t="s">
        <v>659</v>
      </c>
      <c r="G14" s="428"/>
      <c r="H14" s="367">
        <v>109500</v>
      </c>
    </row>
    <row r="15" spans="2:8" ht="23.25">
      <c r="B15" s="366" t="s">
        <v>595</v>
      </c>
      <c r="C15" s="431">
        <v>0</v>
      </c>
      <c r="D15" s="432"/>
      <c r="E15" s="366" t="s">
        <v>169</v>
      </c>
      <c r="G15" s="428"/>
      <c r="H15" s="367">
        <v>4807006.64</v>
      </c>
    </row>
    <row r="16" spans="2:8" ht="23.25">
      <c r="B16" s="366" t="s">
        <v>596</v>
      </c>
      <c r="C16" s="431">
        <v>8087.71</v>
      </c>
      <c r="D16" s="432"/>
      <c r="F16" s="433"/>
      <c r="G16" s="428"/>
      <c r="H16" s="367"/>
    </row>
    <row r="17" spans="2:8" ht="23.25">
      <c r="B17" s="366" t="s">
        <v>596</v>
      </c>
      <c r="C17" s="431">
        <v>4016027.5</v>
      </c>
      <c r="D17" s="432"/>
      <c r="F17" s="433"/>
      <c r="G17" s="428"/>
      <c r="H17" s="367"/>
    </row>
    <row r="18" spans="2:8" ht="23.25">
      <c r="B18" s="366" t="s">
        <v>597</v>
      </c>
      <c r="C18" s="431">
        <v>2975329.72</v>
      </c>
      <c r="D18" s="432"/>
      <c r="G18" s="428"/>
      <c r="H18" s="367"/>
    </row>
    <row r="19" spans="2:8" ht="23.25">
      <c r="B19" s="366" t="s">
        <v>598</v>
      </c>
      <c r="C19" s="431">
        <v>1149164.92</v>
      </c>
      <c r="D19" s="432"/>
      <c r="E19" s="390" t="s">
        <v>641</v>
      </c>
      <c r="G19" s="428">
        <v>5247483.07</v>
      </c>
      <c r="H19" s="367"/>
    </row>
    <row r="20" spans="2:8" ht="23.25">
      <c r="B20" s="366" t="s">
        <v>601</v>
      </c>
      <c r="C20" s="431">
        <v>750177.51</v>
      </c>
      <c r="D20" s="432"/>
      <c r="E20" s="434" t="s">
        <v>599</v>
      </c>
      <c r="F20" s="366" t="s">
        <v>600</v>
      </c>
      <c r="G20" s="428">
        <v>3979487.83</v>
      </c>
      <c r="H20" s="367"/>
    </row>
    <row r="21" spans="2:8" ht="23.25">
      <c r="B21" s="366" t="s">
        <v>602</v>
      </c>
      <c r="C21" s="431">
        <v>237112.29</v>
      </c>
      <c r="D21" s="432"/>
      <c r="E21" s="434" t="s">
        <v>599</v>
      </c>
      <c r="F21" s="366" t="s">
        <v>669</v>
      </c>
      <c r="G21" s="428">
        <v>5314</v>
      </c>
      <c r="H21" s="367"/>
    </row>
    <row r="22" spans="2:8" ht="23.25">
      <c r="B22" s="366" t="s">
        <v>603</v>
      </c>
      <c r="C22" s="428">
        <v>0</v>
      </c>
      <c r="D22" s="432"/>
      <c r="E22" s="434" t="s">
        <v>482</v>
      </c>
      <c r="F22" s="366" t="s">
        <v>187</v>
      </c>
      <c r="G22" s="428">
        <v>2297578.37</v>
      </c>
      <c r="H22" s="367"/>
    </row>
    <row r="23" spans="2:8" ht="23.25">
      <c r="B23" s="366" t="s">
        <v>604</v>
      </c>
      <c r="C23" s="431">
        <v>2888237.18</v>
      </c>
      <c r="D23" s="432"/>
      <c r="E23" s="434" t="s">
        <v>482</v>
      </c>
      <c r="F23" s="366" t="s">
        <v>169</v>
      </c>
      <c r="G23" s="435">
        <v>994871.96</v>
      </c>
      <c r="H23" s="367">
        <v>5939834.57</v>
      </c>
    </row>
    <row r="24" spans="2:8" ht="23.25">
      <c r="B24" s="366" t="s">
        <v>605</v>
      </c>
      <c r="C24" s="431">
        <v>1000000</v>
      </c>
      <c r="D24" s="432"/>
      <c r="E24" s="366" t="s">
        <v>642</v>
      </c>
      <c r="G24" s="428"/>
      <c r="H24" s="441"/>
    </row>
    <row r="25" spans="2:8" ht="23.25">
      <c r="B25" s="366" t="s">
        <v>604</v>
      </c>
      <c r="C25" s="431">
        <v>43189.82</v>
      </c>
      <c r="D25" s="432">
        <f>C16+C17+C18+C19+C20+C21+C23+C24+C25</f>
        <v>13067326.649999999</v>
      </c>
      <c r="G25" s="428"/>
      <c r="H25" s="441"/>
    </row>
    <row r="26" spans="3:8" ht="23.25">
      <c r="C26" s="431"/>
      <c r="D26" s="432"/>
      <c r="G26" s="428"/>
      <c r="H26" s="441"/>
    </row>
    <row r="27" spans="3:8" ht="24" thickBot="1">
      <c r="C27" s="431"/>
      <c r="D27" s="436">
        <f>D10+D11+D25</f>
        <v>39485826.65</v>
      </c>
      <c r="G27" s="428"/>
      <c r="H27" s="437">
        <f>H10+H12+H14+H23+H15</f>
        <v>39485826.650000006</v>
      </c>
    </row>
    <row r="28" spans="3:8" ht="24" thickTop="1">
      <c r="C28" s="438"/>
      <c r="D28" s="439"/>
      <c r="G28" s="372"/>
      <c r="H28" s="418"/>
    </row>
    <row r="29" spans="3:8" ht="23.25">
      <c r="C29" s="438"/>
      <c r="D29" s="439"/>
      <c r="G29" s="372"/>
      <c r="H29" s="418"/>
    </row>
    <row r="30" ht="21.75" customHeight="1"/>
    <row r="31" ht="21.75" customHeight="1"/>
    <row r="32" ht="21.75" customHeight="1"/>
    <row r="33" ht="21.75" customHeight="1"/>
    <row r="34" ht="21.75" customHeight="1"/>
    <row r="35" ht="23.25">
      <c r="A35" s="366" t="s">
        <v>10</v>
      </c>
    </row>
    <row r="36" spans="3:8" ht="23.25">
      <c r="C36" s="476"/>
      <c r="D36" s="476"/>
      <c r="E36" s="476"/>
      <c r="G36" s="476"/>
      <c r="H36" s="476"/>
    </row>
    <row r="37" spans="1:8" ht="23.25">
      <c r="A37" s="476"/>
      <c r="B37" s="476"/>
      <c r="C37" s="476"/>
      <c r="D37" s="476"/>
      <c r="E37" s="476"/>
      <c r="F37" s="476"/>
      <c r="G37" s="476"/>
      <c r="H37" s="476"/>
    </row>
    <row r="38" spans="3:5" ht="23.25">
      <c r="C38" s="477"/>
      <c r="D38" s="477"/>
      <c r="E38" s="477"/>
    </row>
    <row r="39" spans="3:8" ht="23.25">
      <c r="C39" s="476"/>
      <c r="D39" s="476"/>
      <c r="E39" s="476"/>
      <c r="F39" s="423"/>
      <c r="G39" s="476"/>
      <c r="H39" s="476"/>
    </row>
    <row r="40" spans="3:8" ht="23.25">
      <c r="C40" s="476"/>
      <c r="D40" s="476"/>
      <c r="E40" s="476"/>
      <c r="F40" s="423"/>
      <c r="G40" s="440"/>
      <c r="H40" s="440"/>
    </row>
  </sheetData>
  <mergeCells count="16">
    <mergeCell ref="A1:H1"/>
    <mergeCell ref="A5:H5"/>
    <mergeCell ref="A7:B7"/>
    <mergeCell ref="A6:B6"/>
    <mergeCell ref="A2:H2"/>
    <mergeCell ref="A3:H3"/>
    <mergeCell ref="A4:H4"/>
    <mergeCell ref="E6:F6"/>
    <mergeCell ref="E7:F7"/>
    <mergeCell ref="C36:E36"/>
    <mergeCell ref="C38:E38"/>
    <mergeCell ref="C39:E39"/>
    <mergeCell ref="C40:E40"/>
    <mergeCell ref="A37:H37"/>
    <mergeCell ref="G36:H36"/>
    <mergeCell ref="G39:H39"/>
  </mergeCells>
  <printOptions horizontalCentered="1"/>
  <pageMargins left="0" right="0" top="0.49" bottom="0.48" header="0.1968503937007874" footer="0.196850393700787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2"/>
  <sheetViews>
    <sheetView workbookViewId="0" topLeftCell="A70">
      <selection activeCell="C40" sqref="C40"/>
    </sheetView>
  </sheetViews>
  <sheetFormatPr defaultColWidth="9.140625" defaultRowHeight="21.75"/>
  <cols>
    <col min="1" max="1" width="24.00390625" style="96" customWidth="1"/>
    <col min="2" max="2" width="49.421875" style="98" customWidth="1"/>
    <col min="3" max="3" width="17.7109375" style="203" customWidth="1"/>
    <col min="4" max="4" width="29.140625" style="204" customWidth="1"/>
    <col min="5" max="5" width="17.7109375" style="140" customWidth="1"/>
    <col min="6" max="6" width="18.00390625" style="205" customWidth="1"/>
    <col min="7" max="7" width="9.140625" style="64" customWidth="1"/>
    <col min="8" max="8" width="16.57421875" style="89" customWidth="1"/>
    <col min="9" max="16384" width="9.140625" style="64" customWidth="1"/>
  </cols>
  <sheetData>
    <row r="1" spans="1:7" ht="23.25">
      <c r="A1" s="505" t="s">
        <v>153</v>
      </c>
      <c r="B1" s="505"/>
      <c r="C1" s="505"/>
      <c r="D1" s="505"/>
      <c r="E1" s="505"/>
      <c r="F1" s="505"/>
      <c r="G1" s="64">
        <v>1</v>
      </c>
    </row>
    <row r="2" spans="1:6" ht="23.25">
      <c r="A2" s="505" t="s">
        <v>128</v>
      </c>
      <c r="B2" s="505"/>
      <c r="C2" s="505"/>
      <c r="D2" s="505"/>
      <c r="E2" s="505"/>
      <c r="F2" s="505"/>
    </row>
    <row r="3" spans="1:6" ht="23.25">
      <c r="A3" s="505" t="s">
        <v>197</v>
      </c>
      <c r="B3" s="505"/>
      <c r="C3" s="505"/>
      <c r="D3" s="505"/>
      <c r="E3" s="505"/>
      <c r="F3" s="505"/>
    </row>
    <row r="4" spans="1:6" ht="14.25" customHeight="1">
      <c r="A4" s="81"/>
      <c r="B4" s="117"/>
      <c r="C4" s="178"/>
      <c r="D4" s="179"/>
      <c r="E4" s="179"/>
      <c r="F4" s="179"/>
    </row>
    <row r="5" spans="1:6" ht="21">
      <c r="A5" s="506" t="s">
        <v>129</v>
      </c>
      <c r="B5" s="507"/>
      <c r="C5" s="180" t="s">
        <v>130</v>
      </c>
      <c r="D5" s="513" t="s">
        <v>131</v>
      </c>
      <c r="E5" s="514"/>
      <c r="F5" s="181" t="s">
        <v>122</v>
      </c>
    </row>
    <row r="6" spans="1:7" ht="21">
      <c r="A6" s="509"/>
      <c r="B6" s="510"/>
      <c r="C6" s="182"/>
      <c r="D6" s="183" t="s">
        <v>132</v>
      </c>
      <c r="E6" s="184" t="s">
        <v>117</v>
      </c>
      <c r="F6" s="160"/>
      <c r="G6" s="64" t="s">
        <v>10</v>
      </c>
    </row>
    <row r="7" spans="1:6" ht="21" customHeight="1">
      <c r="A7" s="100" t="s">
        <v>178</v>
      </c>
      <c r="B7" s="90"/>
      <c r="C7" s="180"/>
      <c r="D7" s="180"/>
      <c r="E7" s="181"/>
      <c r="F7" s="185"/>
    </row>
    <row r="8" spans="1:6" ht="21" customHeight="1">
      <c r="A8" s="101" t="s">
        <v>216</v>
      </c>
      <c r="B8" s="85" t="s">
        <v>205</v>
      </c>
      <c r="C8" s="186">
        <v>140000</v>
      </c>
      <c r="D8" s="210" t="s">
        <v>133</v>
      </c>
      <c r="E8" s="210">
        <f>+C8</f>
        <v>140000</v>
      </c>
      <c r="F8" s="185"/>
    </row>
    <row r="9" spans="1:6" ht="21" customHeight="1">
      <c r="A9" s="101"/>
      <c r="B9" s="95" t="s">
        <v>198</v>
      </c>
      <c r="C9" s="186"/>
      <c r="D9" s="210"/>
      <c r="E9" s="210"/>
      <c r="F9" s="185"/>
    </row>
    <row r="10" spans="1:6" ht="21" customHeight="1">
      <c r="A10" s="101" t="s">
        <v>217</v>
      </c>
      <c r="B10" s="85" t="s">
        <v>206</v>
      </c>
      <c r="C10" s="186">
        <v>50000</v>
      </c>
      <c r="D10" s="210" t="s">
        <v>133</v>
      </c>
      <c r="E10" s="210">
        <f aca="true" t="shared" si="0" ref="E10:E25">+C10</f>
        <v>50000</v>
      </c>
      <c r="F10" s="185"/>
    </row>
    <row r="11" spans="1:6" ht="21" customHeight="1">
      <c r="A11" s="101"/>
      <c r="B11" s="95" t="s">
        <v>199</v>
      </c>
      <c r="C11" s="186"/>
      <c r="D11" s="210"/>
      <c r="E11" s="210"/>
      <c r="F11" s="185"/>
    </row>
    <row r="12" spans="1:6" ht="21" customHeight="1">
      <c r="A12" s="101" t="s">
        <v>218</v>
      </c>
      <c r="B12" s="85" t="s">
        <v>207</v>
      </c>
      <c r="C12" s="186">
        <v>2200000</v>
      </c>
      <c r="D12" s="210" t="s">
        <v>133</v>
      </c>
      <c r="E12" s="210">
        <f t="shared" si="0"/>
        <v>2200000</v>
      </c>
      <c r="F12" s="185"/>
    </row>
    <row r="13" spans="1:6" ht="21" customHeight="1">
      <c r="A13" s="101" t="s">
        <v>219</v>
      </c>
      <c r="B13" s="85" t="s">
        <v>208</v>
      </c>
      <c r="C13" s="186">
        <v>87885</v>
      </c>
      <c r="D13" s="210" t="s">
        <v>133</v>
      </c>
      <c r="E13" s="210">
        <f t="shared" si="0"/>
        <v>87885</v>
      </c>
      <c r="F13" s="185"/>
    </row>
    <row r="14" spans="1:6" ht="21" customHeight="1">
      <c r="A14" s="101"/>
      <c r="B14" s="95" t="s">
        <v>200</v>
      </c>
      <c r="C14" s="186"/>
      <c r="D14" s="210"/>
      <c r="E14" s="210"/>
      <c r="F14" s="185"/>
    </row>
    <row r="15" spans="1:6" ht="21" customHeight="1">
      <c r="A15" s="101" t="s">
        <v>220</v>
      </c>
      <c r="B15" s="85" t="s">
        <v>209</v>
      </c>
      <c r="C15" s="186">
        <v>464810.43</v>
      </c>
      <c r="D15" s="210" t="s">
        <v>133</v>
      </c>
      <c r="E15" s="210">
        <f t="shared" si="0"/>
        <v>464810.43</v>
      </c>
      <c r="F15" s="185"/>
    </row>
    <row r="16" spans="1:6" ht="21" customHeight="1">
      <c r="A16" s="101"/>
      <c r="B16" s="95" t="s">
        <v>201</v>
      </c>
      <c r="C16" s="186"/>
      <c r="D16" s="210"/>
      <c r="E16" s="210"/>
      <c r="F16" s="185"/>
    </row>
    <row r="17" spans="1:6" ht="21" customHeight="1">
      <c r="A17" s="101" t="s">
        <v>221</v>
      </c>
      <c r="B17" s="85" t="s">
        <v>210</v>
      </c>
      <c r="C17" s="186">
        <v>700000</v>
      </c>
      <c r="D17" s="210" t="s">
        <v>187</v>
      </c>
      <c r="E17" s="210">
        <f t="shared" si="0"/>
        <v>700000</v>
      </c>
      <c r="F17" s="185"/>
    </row>
    <row r="18" spans="1:6" ht="21" customHeight="1">
      <c r="A18" s="101" t="s">
        <v>222</v>
      </c>
      <c r="B18" s="85" t="s">
        <v>211</v>
      </c>
      <c r="C18" s="186">
        <v>149000</v>
      </c>
      <c r="D18" s="210" t="s">
        <v>133</v>
      </c>
      <c r="E18" s="210">
        <f t="shared" si="0"/>
        <v>149000</v>
      </c>
      <c r="F18" s="185"/>
    </row>
    <row r="19" spans="1:6" ht="21" customHeight="1">
      <c r="A19" s="101"/>
      <c r="B19" s="95" t="s">
        <v>202</v>
      </c>
      <c r="C19" s="186"/>
      <c r="D19" s="210"/>
      <c r="E19" s="210"/>
      <c r="F19" s="185"/>
    </row>
    <row r="20" spans="1:6" ht="21" customHeight="1">
      <c r="A20" s="101" t="s">
        <v>223</v>
      </c>
      <c r="B20" s="85" t="s">
        <v>212</v>
      </c>
      <c r="C20" s="186">
        <v>254672.9</v>
      </c>
      <c r="D20" s="210" t="s">
        <v>133</v>
      </c>
      <c r="E20" s="210">
        <f t="shared" si="0"/>
        <v>254672.9</v>
      </c>
      <c r="F20" s="185"/>
    </row>
    <row r="21" spans="1:6" ht="21" customHeight="1">
      <c r="A21" s="101"/>
      <c r="B21" s="95" t="s">
        <v>203</v>
      </c>
      <c r="C21" s="186"/>
      <c r="D21" s="210"/>
      <c r="E21" s="210"/>
      <c r="F21" s="185"/>
    </row>
    <row r="22" spans="1:6" ht="21" customHeight="1">
      <c r="A22" s="101" t="s">
        <v>224</v>
      </c>
      <c r="B22" s="85" t="s">
        <v>213</v>
      </c>
      <c r="C22" s="186">
        <v>263084.11</v>
      </c>
      <c r="D22" s="210" t="s">
        <v>133</v>
      </c>
      <c r="E22" s="210">
        <f t="shared" si="0"/>
        <v>263084.11</v>
      </c>
      <c r="F22" s="185"/>
    </row>
    <row r="23" spans="1:6" ht="21" customHeight="1">
      <c r="A23" s="101"/>
      <c r="B23" s="95" t="s">
        <v>204</v>
      </c>
      <c r="C23" s="186"/>
      <c r="D23" s="210"/>
      <c r="E23" s="210"/>
      <c r="F23" s="185"/>
    </row>
    <row r="24" spans="1:6" ht="21" customHeight="1">
      <c r="A24" s="101" t="s">
        <v>225</v>
      </c>
      <c r="B24" s="85" t="s">
        <v>214</v>
      </c>
      <c r="C24" s="186">
        <v>263084.11</v>
      </c>
      <c r="D24" s="210" t="s">
        <v>133</v>
      </c>
      <c r="E24" s="210">
        <f t="shared" si="0"/>
        <v>263084.11</v>
      </c>
      <c r="F24" s="185"/>
    </row>
    <row r="25" spans="1:6" ht="21" customHeight="1">
      <c r="A25" s="101" t="s">
        <v>226</v>
      </c>
      <c r="B25" s="85" t="s">
        <v>215</v>
      </c>
      <c r="C25" s="186">
        <v>263084.11</v>
      </c>
      <c r="D25" s="210" t="s">
        <v>133</v>
      </c>
      <c r="E25" s="210">
        <f t="shared" si="0"/>
        <v>263084.11</v>
      </c>
      <c r="F25" s="193"/>
    </row>
    <row r="26" spans="1:6" ht="21" customHeight="1" thickBot="1">
      <c r="A26" s="100"/>
      <c r="B26" s="90"/>
      <c r="C26" s="210"/>
      <c r="D26" s="210"/>
      <c r="E26" s="210"/>
      <c r="F26" s="215">
        <f>+E8+E10+E12+E13+E15+E17+E18+E20+E22+E24+E25</f>
        <v>4835620.660000001</v>
      </c>
    </row>
    <row r="27" spans="1:8" s="86" customFormat="1" ht="21" customHeight="1" thickTop="1">
      <c r="A27" s="100"/>
      <c r="B27" s="90"/>
      <c r="C27" s="210"/>
      <c r="D27" s="210"/>
      <c r="E27" s="210"/>
      <c r="F27" s="185"/>
      <c r="H27" s="107"/>
    </row>
    <row r="28" spans="1:8" s="86" customFormat="1" ht="21" customHeight="1">
      <c r="A28" s="100"/>
      <c r="B28" s="90"/>
      <c r="C28" s="210"/>
      <c r="D28" s="210"/>
      <c r="E28" s="210"/>
      <c r="F28" s="185"/>
      <c r="H28" s="107"/>
    </row>
    <row r="29" spans="1:8" s="176" customFormat="1" ht="21" customHeight="1">
      <c r="A29" s="211"/>
      <c r="B29" s="212"/>
      <c r="C29" s="182"/>
      <c r="D29" s="182"/>
      <c r="E29" s="182"/>
      <c r="F29" s="213"/>
      <c r="H29" s="214"/>
    </row>
    <row r="30" spans="1:8" s="91" customFormat="1" ht="21" customHeight="1">
      <c r="A30" s="225" t="s">
        <v>179</v>
      </c>
      <c r="B30" s="226"/>
      <c r="C30" s="190"/>
      <c r="D30" s="151"/>
      <c r="E30" s="190"/>
      <c r="F30" s="189"/>
      <c r="H30" s="106"/>
    </row>
    <row r="31" spans="1:8" s="91" customFormat="1" ht="21" customHeight="1">
      <c r="A31" s="99" t="s">
        <v>180</v>
      </c>
      <c r="B31" s="217"/>
      <c r="C31" s="190"/>
      <c r="D31" s="151"/>
      <c r="E31" s="190"/>
      <c r="F31" s="189"/>
      <c r="H31" s="106"/>
    </row>
    <row r="32" spans="1:6" ht="21" customHeight="1" thickBot="1">
      <c r="A32" s="150" t="s">
        <v>227</v>
      </c>
      <c r="B32" s="92" t="s">
        <v>228</v>
      </c>
      <c r="C32" s="188">
        <v>1685000</v>
      </c>
      <c r="D32" s="151" t="s">
        <v>133</v>
      </c>
      <c r="E32" s="216">
        <f>+C32</f>
        <v>1685000</v>
      </c>
      <c r="F32" s="191">
        <f>+E32</f>
        <v>1685000</v>
      </c>
    </row>
    <row r="33" spans="1:6" ht="21" customHeight="1" thickTop="1">
      <c r="A33" s="150"/>
      <c r="B33" s="95" t="s">
        <v>229</v>
      </c>
      <c r="C33" s="216"/>
      <c r="D33" s="216"/>
      <c r="E33" s="216"/>
      <c r="F33" s="192"/>
    </row>
    <row r="34" spans="1:6" ht="21" customHeight="1">
      <c r="A34" s="150"/>
      <c r="B34" s="95" t="s">
        <v>230</v>
      </c>
      <c r="C34" s="216"/>
      <c r="D34" s="216"/>
      <c r="E34" s="216"/>
      <c r="F34" s="192"/>
    </row>
    <row r="35" spans="1:6" ht="21" customHeight="1">
      <c r="A35" s="150"/>
      <c r="B35" s="95" t="s">
        <v>231</v>
      </c>
      <c r="C35" s="216"/>
      <c r="D35" s="216"/>
      <c r="E35" s="216"/>
      <c r="F35" s="192"/>
    </row>
    <row r="36" spans="1:6" ht="21" customHeight="1">
      <c r="A36" s="150"/>
      <c r="B36" s="95" t="s">
        <v>232</v>
      </c>
      <c r="C36" s="216"/>
      <c r="D36" s="216"/>
      <c r="E36" s="216"/>
      <c r="F36" s="192"/>
    </row>
    <row r="37" spans="1:6" ht="21" customHeight="1">
      <c r="A37" s="150"/>
      <c r="B37" s="95" t="s">
        <v>233</v>
      </c>
      <c r="C37" s="216"/>
      <c r="D37" s="216"/>
      <c r="E37" s="216"/>
      <c r="F37" s="192"/>
    </row>
    <row r="38" spans="1:6" ht="21" customHeight="1">
      <c r="A38" s="511" t="s">
        <v>181</v>
      </c>
      <c r="B38" s="512"/>
      <c r="C38" s="188"/>
      <c r="D38" s="151"/>
      <c r="E38" s="151"/>
      <c r="F38" s="192"/>
    </row>
    <row r="39" spans="1:7" ht="21" customHeight="1">
      <c r="A39" s="104" t="s">
        <v>141</v>
      </c>
      <c r="B39" s="85" t="s">
        <v>10</v>
      </c>
      <c r="C39" s="188"/>
      <c r="D39" s="151"/>
      <c r="E39" s="151"/>
      <c r="F39" s="192"/>
      <c r="G39" s="87"/>
    </row>
    <row r="40" spans="1:7" ht="21" customHeight="1">
      <c r="A40" s="101" t="s">
        <v>234</v>
      </c>
      <c r="B40" s="85" t="s">
        <v>237</v>
      </c>
      <c r="C40" s="196">
        <v>29000</v>
      </c>
      <c r="D40" s="151" t="s">
        <v>133</v>
      </c>
      <c r="E40" s="151">
        <f>+C40</f>
        <v>29000</v>
      </c>
      <c r="F40" s="192"/>
      <c r="G40" s="87"/>
    </row>
    <row r="41" spans="1:7" ht="21" customHeight="1">
      <c r="A41" s="101"/>
      <c r="B41" s="95" t="s">
        <v>244</v>
      </c>
      <c r="C41" s="186"/>
      <c r="D41" s="151"/>
      <c r="E41" s="151"/>
      <c r="F41" s="192"/>
      <c r="G41" s="87"/>
    </row>
    <row r="42" spans="1:7" ht="21" customHeight="1">
      <c r="A42" s="101"/>
      <c r="B42" s="95" t="s">
        <v>238</v>
      </c>
      <c r="C42" s="186"/>
      <c r="D42" s="151"/>
      <c r="E42" s="151"/>
      <c r="F42" s="192"/>
      <c r="G42" s="87"/>
    </row>
    <row r="43" spans="1:7" ht="21" customHeight="1">
      <c r="A43" s="101"/>
      <c r="B43" s="85" t="s">
        <v>243</v>
      </c>
      <c r="C43" s="186">
        <v>1800</v>
      </c>
      <c r="D43" s="151" t="s">
        <v>133</v>
      </c>
      <c r="E43" s="151">
        <f>+C43</f>
        <v>1800</v>
      </c>
      <c r="F43" s="192"/>
      <c r="G43" s="87"/>
    </row>
    <row r="44" spans="1:7" ht="21" customHeight="1">
      <c r="A44" s="101"/>
      <c r="B44" s="85" t="s">
        <v>239</v>
      </c>
      <c r="C44" s="186">
        <v>2000</v>
      </c>
      <c r="D44" s="151" t="s">
        <v>133</v>
      </c>
      <c r="E44" s="151">
        <f>+C44</f>
        <v>2000</v>
      </c>
      <c r="F44" s="192"/>
      <c r="G44" s="87"/>
    </row>
    <row r="45" spans="1:7" ht="21" customHeight="1">
      <c r="A45" s="101" t="s">
        <v>235</v>
      </c>
      <c r="B45" s="85" t="s">
        <v>240</v>
      </c>
      <c r="C45" s="186">
        <v>70000</v>
      </c>
      <c r="D45" s="151" t="s">
        <v>133</v>
      </c>
      <c r="E45" s="151">
        <f>+C45</f>
        <v>70000</v>
      </c>
      <c r="F45" s="192"/>
      <c r="G45" s="87"/>
    </row>
    <row r="46" spans="1:7" ht="21" customHeight="1">
      <c r="A46" s="101"/>
      <c r="B46" s="95" t="s">
        <v>241</v>
      </c>
      <c r="C46" s="163"/>
      <c r="D46" s="151"/>
      <c r="E46" s="151"/>
      <c r="F46" s="192"/>
      <c r="G46" s="87"/>
    </row>
    <row r="47" spans="1:7" ht="21" customHeight="1">
      <c r="A47" s="101" t="s">
        <v>236</v>
      </c>
      <c r="B47" s="85" t="s">
        <v>242</v>
      </c>
      <c r="C47" s="186">
        <v>20000</v>
      </c>
      <c r="D47" s="151" t="s">
        <v>133</v>
      </c>
      <c r="E47" s="151">
        <f>+C47</f>
        <v>20000</v>
      </c>
      <c r="F47" s="189"/>
      <c r="G47" s="87"/>
    </row>
    <row r="48" spans="1:7" ht="21" customHeight="1" thickBot="1">
      <c r="A48" s="101"/>
      <c r="B48" s="85"/>
      <c r="C48" s="190"/>
      <c r="D48" s="151"/>
      <c r="E48" s="151"/>
      <c r="F48" s="191">
        <f>+E40+E43+E44+E45+E47</f>
        <v>122800</v>
      </c>
      <c r="G48" s="87"/>
    </row>
    <row r="49" spans="1:7" ht="21" customHeight="1" thickTop="1">
      <c r="A49" s="104" t="s">
        <v>142</v>
      </c>
      <c r="B49" s="95" t="s">
        <v>10</v>
      </c>
      <c r="C49" s="190"/>
      <c r="D49" s="151"/>
      <c r="E49" s="190"/>
      <c r="F49" s="192"/>
      <c r="G49" s="87"/>
    </row>
    <row r="50" spans="1:7" ht="21" customHeight="1">
      <c r="A50" s="101" t="s">
        <v>247</v>
      </c>
      <c r="B50" s="92" t="s">
        <v>250</v>
      </c>
      <c r="C50" s="218">
        <v>9630</v>
      </c>
      <c r="D50" s="187" t="s">
        <v>133</v>
      </c>
      <c r="E50" s="190">
        <f>+C50</f>
        <v>9630</v>
      </c>
      <c r="F50" s="192"/>
      <c r="G50" s="87"/>
    </row>
    <row r="51" spans="1:7" ht="21" customHeight="1">
      <c r="A51" s="122"/>
      <c r="B51" s="92" t="s">
        <v>251</v>
      </c>
      <c r="C51" s="218">
        <v>11200</v>
      </c>
      <c r="D51" s="187" t="s">
        <v>133</v>
      </c>
      <c r="E51" s="190">
        <f>+C51</f>
        <v>11200</v>
      </c>
      <c r="F51" s="192"/>
      <c r="G51" s="87"/>
    </row>
    <row r="52" spans="1:8" s="176" customFormat="1" ht="21" customHeight="1">
      <c r="A52" s="102" t="s">
        <v>248</v>
      </c>
      <c r="B52" s="93" t="s">
        <v>252</v>
      </c>
      <c r="C52" s="219">
        <v>8988</v>
      </c>
      <c r="D52" s="220" t="s">
        <v>133</v>
      </c>
      <c r="E52" s="198">
        <f>+C52</f>
        <v>8988</v>
      </c>
      <c r="F52" s="221"/>
      <c r="G52" s="222"/>
      <c r="H52" s="214"/>
    </row>
    <row r="53" spans="1:7" ht="21" customHeight="1">
      <c r="A53" s="101" t="s">
        <v>249</v>
      </c>
      <c r="B53" s="92" t="s">
        <v>253</v>
      </c>
      <c r="C53" s="218">
        <v>11000</v>
      </c>
      <c r="D53" s="187" t="s">
        <v>133</v>
      </c>
      <c r="E53" s="190">
        <f>+C53</f>
        <v>11000</v>
      </c>
      <c r="F53" s="192"/>
      <c r="G53" s="87"/>
    </row>
    <row r="54" spans="1:7" ht="21" customHeight="1">
      <c r="A54" s="104"/>
      <c r="B54" s="92" t="s">
        <v>254</v>
      </c>
      <c r="C54" s="218">
        <v>15000</v>
      </c>
      <c r="D54" s="187" t="s">
        <v>133</v>
      </c>
      <c r="E54" s="190">
        <f>+C54</f>
        <v>15000</v>
      </c>
      <c r="F54" s="192"/>
      <c r="G54" s="87"/>
    </row>
    <row r="55" spans="1:7" ht="21" customHeight="1" thickBot="1">
      <c r="A55" s="122"/>
      <c r="B55" s="123"/>
      <c r="C55" s="188"/>
      <c r="D55" s="151"/>
      <c r="E55" s="190"/>
      <c r="F55" s="191">
        <f>+E50+E51+E52+E53+E54</f>
        <v>55818</v>
      </c>
      <c r="G55" s="87"/>
    </row>
    <row r="56" spans="1:7" ht="21" customHeight="1" thickTop="1">
      <c r="A56" s="104" t="s">
        <v>143</v>
      </c>
      <c r="B56" s="92"/>
      <c r="C56" s="190"/>
      <c r="D56" s="151"/>
      <c r="E56" s="190"/>
      <c r="F56" s="151"/>
      <c r="G56" s="87"/>
    </row>
    <row r="57" spans="1:7" ht="21" customHeight="1">
      <c r="A57" s="101" t="s">
        <v>245</v>
      </c>
      <c r="B57" s="92" t="s">
        <v>246</v>
      </c>
      <c r="C57" s="151">
        <v>8400</v>
      </c>
      <c r="D57" s="151" t="s">
        <v>133</v>
      </c>
      <c r="E57" s="151">
        <f>+C57</f>
        <v>8400</v>
      </c>
      <c r="F57" s="189"/>
      <c r="G57" s="87"/>
    </row>
    <row r="58" spans="1:7" ht="21" customHeight="1" thickBot="1">
      <c r="A58" s="101"/>
      <c r="B58" s="92"/>
      <c r="C58" s="151"/>
      <c r="D58" s="151"/>
      <c r="E58" s="151"/>
      <c r="F58" s="191">
        <f>+E57</f>
        <v>8400</v>
      </c>
      <c r="G58" s="87"/>
    </row>
    <row r="59" spans="1:7" ht="21" customHeight="1" thickTop="1">
      <c r="A59" s="104" t="s">
        <v>144</v>
      </c>
      <c r="B59" s="95"/>
      <c r="C59" s="190"/>
      <c r="D59" s="151"/>
      <c r="E59" s="190"/>
      <c r="F59" s="192"/>
      <c r="G59" s="87"/>
    </row>
    <row r="60" spans="1:8" s="86" customFormat="1" ht="21" customHeight="1">
      <c r="A60" s="122" t="s">
        <v>5</v>
      </c>
      <c r="B60" s="123" t="s">
        <v>5</v>
      </c>
      <c r="C60" s="151" t="s">
        <v>5</v>
      </c>
      <c r="D60" s="151" t="s">
        <v>5</v>
      </c>
      <c r="E60" s="151" t="s">
        <v>5</v>
      </c>
      <c r="F60" s="189" t="s">
        <v>5</v>
      </c>
      <c r="G60" s="152"/>
      <c r="H60" s="107"/>
    </row>
    <row r="61" spans="1:7" ht="21" customHeight="1">
      <c r="A61" s="104" t="s">
        <v>145</v>
      </c>
      <c r="B61" s="95"/>
      <c r="C61" s="190"/>
      <c r="D61" s="151"/>
      <c r="E61" s="190"/>
      <c r="F61" s="192"/>
      <c r="G61" s="87"/>
    </row>
    <row r="62" spans="1:7" ht="21" customHeight="1">
      <c r="A62" s="101" t="s">
        <v>287</v>
      </c>
      <c r="B62" s="92" t="s">
        <v>288</v>
      </c>
      <c r="C62" s="196">
        <v>14000</v>
      </c>
      <c r="D62" s="151" t="s">
        <v>133</v>
      </c>
      <c r="E62" s="190">
        <f>+C62</f>
        <v>14000</v>
      </c>
      <c r="F62" s="192"/>
      <c r="G62" s="87"/>
    </row>
    <row r="63" spans="1:7" ht="21" customHeight="1">
      <c r="A63" s="101"/>
      <c r="B63" s="92" t="s">
        <v>289</v>
      </c>
      <c r="C63" s="196">
        <v>400</v>
      </c>
      <c r="D63" s="151" t="s">
        <v>133</v>
      </c>
      <c r="E63" s="190">
        <f aca="true" t="shared" si="1" ref="E63:E73">+C63</f>
        <v>400</v>
      </c>
      <c r="F63" s="192"/>
      <c r="G63" s="87"/>
    </row>
    <row r="64" spans="1:7" ht="21" customHeight="1">
      <c r="A64" s="101"/>
      <c r="B64" s="92" t="s">
        <v>290</v>
      </c>
      <c r="C64" s="196">
        <v>10000</v>
      </c>
      <c r="D64" s="151" t="s">
        <v>133</v>
      </c>
      <c r="E64" s="190">
        <f t="shared" si="1"/>
        <v>10000</v>
      </c>
      <c r="F64" s="192"/>
      <c r="G64" s="87"/>
    </row>
    <row r="65" spans="1:7" ht="21" customHeight="1">
      <c r="A65" s="101"/>
      <c r="B65" s="92" t="s">
        <v>291</v>
      </c>
      <c r="C65" s="196">
        <v>1200</v>
      </c>
      <c r="D65" s="151" t="s">
        <v>133</v>
      </c>
      <c r="E65" s="190">
        <f t="shared" si="1"/>
        <v>1200</v>
      </c>
      <c r="F65" s="192"/>
      <c r="G65" s="87"/>
    </row>
    <row r="66" spans="1:7" ht="21" customHeight="1">
      <c r="A66" s="101"/>
      <c r="B66" s="92" t="s">
        <v>292</v>
      </c>
      <c r="C66" s="196">
        <v>800</v>
      </c>
      <c r="D66" s="151" t="s">
        <v>133</v>
      </c>
      <c r="E66" s="190">
        <f t="shared" si="1"/>
        <v>800</v>
      </c>
      <c r="F66" s="192"/>
      <c r="G66" s="87"/>
    </row>
    <row r="67" spans="1:7" ht="21" customHeight="1">
      <c r="A67" s="101"/>
      <c r="B67" s="92" t="s">
        <v>293</v>
      </c>
      <c r="C67" s="196">
        <v>400</v>
      </c>
      <c r="D67" s="151" t="s">
        <v>133</v>
      </c>
      <c r="E67" s="190">
        <f t="shared" si="1"/>
        <v>400</v>
      </c>
      <c r="F67" s="192"/>
      <c r="G67" s="87"/>
    </row>
    <row r="68" spans="1:7" ht="21" customHeight="1">
      <c r="A68" s="101"/>
      <c r="B68" s="92" t="s">
        <v>294</v>
      </c>
      <c r="C68" s="196">
        <v>9500</v>
      </c>
      <c r="D68" s="151" t="s">
        <v>133</v>
      </c>
      <c r="E68" s="190">
        <f t="shared" si="1"/>
        <v>9500</v>
      </c>
      <c r="F68" s="192"/>
      <c r="G68" s="87"/>
    </row>
    <row r="69" spans="1:7" ht="21" customHeight="1">
      <c r="A69" s="101"/>
      <c r="B69" s="92" t="s">
        <v>295</v>
      </c>
      <c r="C69" s="196">
        <v>60</v>
      </c>
      <c r="D69" s="151" t="s">
        <v>133</v>
      </c>
      <c r="E69" s="190">
        <f t="shared" si="1"/>
        <v>60</v>
      </c>
      <c r="F69" s="192"/>
      <c r="G69" s="87"/>
    </row>
    <row r="70" spans="1:7" ht="21" customHeight="1">
      <c r="A70" s="101"/>
      <c r="B70" s="92" t="s">
        <v>296</v>
      </c>
      <c r="C70" s="196">
        <v>2900</v>
      </c>
      <c r="D70" s="151" t="s">
        <v>133</v>
      </c>
      <c r="E70" s="190">
        <f t="shared" si="1"/>
        <v>2900</v>
      </c>
      <c r="F70" s="192"/>
      <c r="G70" s="87"/>
    </row>
    <row r="71" spans="1:7" ht="21" customHeight="1">
      <c r="A71" s="101"/>
      <c r="B71" s="92" t="s">
        <v>297</v>
      </c>
      <c r="C71" s="196">
        <v>1000</v>
      </c>
      <c r="D71" s="151" t="s">
        <v>133</v>
      </c>
      <c r="E71" s="190">
        <f t="shared" si="1"/>
        <v>1000</v>
      </c>
      <c r="F71" s="192"/>
      <c r="G71" s="87"/>
    </row>
    <row r="72" spans="1:7" ht="21" customHeight="1">
      <c r="A72" s="101"/>
      <c r="B72" s="92" t="s">
        <v>298</v>
      </c>
      <c r="C72" s="196">
        <v>390</v>
      </c>
      <c r="D72" s="151" t="s">
        <v>133</v>
      </c>
      <c r="E72" s="190">
        <f t="shared" si="1"/>
        <v>390</v>
      </c>
      <c r="F72" s="192"/>
      <c r="G72" s="87"/>
    </row>
    <row r="73" spans="1:7" ht="21" customHeight="1">
      <c r="A73" s="101"/>
      <c r="B73" s="92" t="s">
        <v>299</v>
      </c>
      <c r="C73" s="196">
        <v>3500</v>
      </c>
      <c r="D73" s="151" t="s">
        <v>133</v>
      </c>
      <c r="E73" s="190">
        <f t="shared" si="1"/>
        <v>3500</v>
      </c>
      <c r="F73" s="192"/>
      <c r="G73" s="87"/>
    </row>
    <row r="74" spans="1:7" ht="21" customHeight="1" thickBot="1">
      <c r="A74" s="101"/>
      <c r="B74" s="92"/>
      <c r="C74" s="188"/>
      <c r="D74" s="151"/>
      <c r="E74" s="190"/>
      <c r="F74" s="191">
        <f>+E62+E63+E64+E65+E66+E67+E68+E69+E70+E71+E72+E73</f>
        <v>44150</v>
      </c>
      <c r="G74" s="87"/>
    </row>
    <row r="75" spans="1:8" ht="21" customHeight="1" thickTop="1">
      <c r="A75" s="102"/>
      <c r="B75" s="93"/>
      <c r="C75" s="197"/>
      <c r="D75" s="195"/>
      <c r="E75" s="198"/>
      <c r="F75" s="230"/>
      <c r="G75" s="222"/>
      <c r="H75" s="214"/>
    </row>
    <row r="76" spans="1:7" ht="21" customHeight="1">
      <c r="A76" s="105" t="s">
        <v>146</v>
      </c>
      <c r="B76" s="95"/>
      <c r="C76" s="190"/>
      <c r="D76" s="151"/>
      <c r="E76" s="190"/>
      <c r="F76" s="189"/>
      <c r="G76" s="87"/>
    </row>
    <row r="77" spans="1:7" ht="21" customHeight="1">
      <c r="A77" s="101" t="s">
        <v>255</v>
      </c>
      <c r="B77" s="92" t="s">
        <v>256</v>
      </c>
      <c r="C77" s="196">
        <v>42800</v>
      </c>
      <c r="D77" s="151" t="s">
        <v>133</v>
      </c>
      <c r="E77" s="190">
        <f>+C77</f>
        <v>42800</v>
      </c>
      <c r="F77" s="187"/>
      <c r="G77" s="87"/>
    </row>
    <row r="78" spans="1:7" ht="21" customHeight="1">
      <c r="A78" s="101"/>
      <c r="B78" s="92" t="s">
        <v>257</v>
      </c>
      <c r="C78" s="196">
        <f>2400+168</f>
        <v>2568</v>
      </c>
      <c r="D78" s="151" t="s">
        <v>133</v>
      </c>
      <c r="E78" s="190">
        <f aca="true" t="shared" si="2" ref="E78:E141">+C78</f>
        <v>2568</v>
      </c>
      <c r="F78" s="187"/>
      <c r="G78" s="87"/>
    </row>
    <row r="79" spans="1:7" ht="21" customHeight="1">
      <c r="A79" s="101"/>
      <c r="B79" s="92" t="s">
        <v>258</v>
      </c>
      <c r="C79" s="196">
        <v>8560</v>
      </c>
      <c r="D79" s="151" t="s">
        <v>133</v>
      </c>
      <c r="E79" s="190">
        <f t="shared" si="2"/>
        <v>8560</v>
      </c>
      <c r="F79" s="187"/>
      <c r="G79" s="87"/>
    </row>
    <row r="80" spans="1:7" ht="21" customHeight="1">
      <c r="A80" s="101"/>
      <c r="B80" s="92" t="s">
        <v>259</v>
      </c>
      <c r="C80" s="196">
        <f>55000+3850</f>
        <v>58850</v>
      </c>
      <c r="D80" s="151" t="s">
        <v>133</v>
      </c>
      <c r="E80" s="190">
        <f t="shared" si="2"/>
        <v>58850</v>
      </c>
      <c r="F80" s="187"/>
      <c r="G80" s="87"/>
    </row>
    <row r="81" spans="1:7" ht="21" customHeight="1">
      <c r="A81" s="101"/>
      <c r="B81" s="92" t="s">
        <v>257</v>
      </c>
      <c r="C81" s="196">
        <f>2400+168</f>
        <v>2568</v>
      </c>
      <c r="D81" s="151"/>
      <c r="E81" s="190">
        <f t="shared" si="2"/>
        <v>2568</v>
      </c>
      <c r="F81" s="187"/>
      <c r="G81" s="87"/>
    </row>
    <row r="82" spans="1:7" ht="21" customHeight="1">
      <c r="A82" s="101"/>
      <c r="B82" s="92" t="s">
        <v>260</v>
      </c>
      <c r="C82" s="196">
        <v>12840</v>
      </c>
      <c r="D82" s="151" t="s">
        <v>133</v>
      </c>
      <c r="E82" s="190">
        <f t="shared" si="2"/>
        <v>12840</v>
      </c>
      <c r="F82" s="187"/>
      <c r="G82" s="87"/>
    </row>
    <row r="83" spans="1:7" ht="21" customHeight="1">
      <c r="A83" s="101"/>
      <c r="B83" s="92" t="s">
        <v>261</v>
      </c>
      <c r="C83" s="196">
        <v>53500</v>
      </c>
      <c r="D83" s="151" t="s">
        <v>133</v>
      </c>
      <c r="E83" s="190">
        <f t="shared" si="2"/>
        <v>53500</v>
      </c>
      <c r="F83" s="187"/>
      <c r="G83" s="87"/>
    </row>
    <row r="84" spans="1:7" ht="21" customHeight="1">
      <c r="A84" s="101"/>
      <c r="B84" s="92" t="s">
        <v>257</v>
      </c>
      <c r="C84" s="196">
        <v>2568</v>
      </c>
      <c r="D84" s="151" t="s">
        <v>133</v>
      </c>
      <c r="E84" s="190">
        <f t="shared" si="2"/>
        <v>2568</v>
      </c>
      <c r="F84" s="187"/>
      <c r="G84" s="87"/>
    </row>
    <row r="85" spans="1:7" ht="21" customHeight="1">
      <c r="A85" s="101"/>
      <c r="B85" s="92" t="s">
        <v>262</v>
      </c>
      <c r="C85" s="196">
        <f>18000+1260</f>
        <v>19260</v>
      </c>
      <c r="D85" s="151" t="s">
        <v>133</v>
      </c>
      <c r="E85" s="190">
        <f t="shared" si="2"/>
        <v>19260</v>
      </c>
      <c r="F85" s="187"/>
      <c r="G85" s="87"/>
    </row>
    <row r="86" spans="1:8" s="86" customFormat="1" ht="21" customHeight="1">
      <c r="A86" s="101"/>
      <c r="B86" s="92" t="s">
        <v>263</v>
      </c>
      <c r="C86" s="196">
        <v>42800</v>
      </c>
      <c r="D86" s="151" t="s">
        <v>133</v>
      </c>
      <c r="E86" s="190">
        <f t="shared" si="2"/>
        <v>42800</v>
      </c>
      <c r="F86" s="187"/>
      <c r="G86" s="152"/>
      <c r="H86" s="107"/>
    </row>
    <row r="87" spans="1:6" ht="21" customHeight="1">
      <c r="A87" s="101"/>
      <c r="B87" s="92" t="s">
        <v>257</v>
      </c>
      <c r="C87" s="196">
        <v>2568</v>
      </c>
      <c r="D87" s="210" t="s">
        <v>133</v>
      </c>
      <c r="E87" s="190">
        <f t="shared" si="2"/>
        <v>2568</v>
      </c>
      <c r="F87" s="193"/>
    </row>
    <row r="88" spans="1:7" ht="21" customHeight="1">
      <c r="A88" s="101"/>
      <c r="B88" s="92" t="s">
        <v>260</v>
      </c>
      <c r="C88" s="196">
        <v>12840</v>
      </c>
      <c r="D88" s="151" t="s">
        <v>133</v>
      </c>
      <c r="E88" s="190">
        <f t="shared" si="2"/>
        <v>12840</v>
      </c>
      <c r="F88" s="187"/>
      <c r="G88" s="87"/>
    </row>
    <row r="89" spans="1:7" ht="21" customHeight="1">
      <c r="A89" s="101"/>
      <c r="B89" s="92" t="s">
        <v>264</v>
      </c>
      <c r="C89" s="196">
        <v>64200</v>
      </c>
      <c r="D89" s="151" t="s">
        <v>133</v>
      </c>
      <c r="E89" s="190">
        <f t="shared" si="2"/>
        <v>64200</v>
      </c>
      <c r="F89" s="187"/>
      <c r="G89" s="87"/>
    </row>
    <row r="90" spans="1:7" ht="21" customHeight="1">
      <c r="A90" s="101"/>
      <c r="B90" s="92" t="s">
        <v>257</v>
      </c>
      <c r="C90" s="196">
        <v>2568</v>
      </c>
      <c r="D90" s="151"/>
      <c r="E90" s="190">
        <f t="shared" si="2"/>
        <v>2568</v>
      </c>
      <c r="F90" s="151"/>
      <c r="G90" s="87"/>
    </row>
    <row r="91" spans="1:7" ht="21" customHeight="1">
      <c r="A91" s="101"/>
      <c r="B91" s="92" t="s">
        <v>262</v>
      </c>
      <c r="C91" s="196">
        <f>18000+1260</f>
        <v>19260</v>
      </c>
      <c r="D91" s="151" t="s">
        <v>133</v>
      </c>
      <c r="E91" s="190">
        <f t="shared" si="2"/>
        <v>19260</v>
      </c>
      <c r="F91" s="151"/>
      <c r="G91" s="87"/>
    </row>
    <row r="92" spans="1:8" s="86" customFormat="1" ht="21" customHeight="1">
      <c r="A92" s="101"/>
      <c r="B92" s="92" t="s">
        <v>265</v>
      </c>
      <c r="C92" s="196">
        <v>64200</v>
      </c>
      <c r="D92" s="151" t="s">
        <v>133</v>
      </c>
      <c r="E92" s="190">
        <f t="shared" si="2"/>
        <v>64200</v>
      </c>
      <c r="F92" s="151"/>
      <c r="G92" s="152"/>
      <c r="H92" s="107"/>
    </row>
    <row r="93" spans="1:7" ht="21" customHeight="1">
      <c r="A93" s="101"/>
      <c r="B93" s="92" t="s">
        <v>257</v>
      </c>
      <c r="C93" s="196">
        <v>2568</v>
      </c>
      <c r="D93" s="151" t="s">
        <v>133</v>
      </c>
      <c r="E93" s="190">
        <f t="shared" si="2"/>
        <v>2568</v>
      </c>
      <c r="F93" s="151"/>
      <c r="G93" s="87"/>
    </row>
    <row r="94" spans="1:7" ht="21" customHeight="1">
      <c r="A94" s="101"/>
      <c r="B94" s="92" t="s">
        <v>266</v>
      </c>
      <c r="C94" s="196">
        <v>14980</v>
      </c>
      <c r="D94" s="151" t="s">
        <v>133</v>
      </c>
      <c r="E94" s="190">
        <f t="shared" si="2"/>
        <v>14980</v>
      </c>
      <c r="F94" s="151"/>
      <c r="G94" s="87"/>
    </row>
    <row r="95" spans="1:7" ht="21" customHeight="1">
      <c r="A95" s="101"/>
      <c r="B95" s="92" t="s">
        <v>267</v>
      </c>
      <c r="C95" s="196">
        <f>55000+3850</f>
        <v>58850</v>
      </c>
      <c r="D95" s="151" t="s">
        <v>133</v>
      </c>
      <c r="E95" s="190">
        <f t="shared" si="2"/>
        <v>58850</v>
      </c>
      <c r="F95" s="151"/>
      <c r="G95" s="87"/>
    </row>
    <row r="96" spans="1:7" ht="21" customHeight="1">
      <c r="A96" s="101"/>
      <c r="B96" s="92" t="s">
        <v>257</v>
      </c>
      <c r="C96" s="196">
        <v>2568</v>
      </c>
      <c r="D96" s="151" t="s">
        <v>133</v>
      </c>
      <c r="E96" s="190">
        <f t="shared" si="2"/>
        <v>2568</v>
      </c>
      <c r="F96" s="187"/>
      <c r="G96" s="87"/>
    </row>
    <row r="97" spans="1:7" ht="21" customHeight="1">
      <c r="A97" s="101"/>
      <c r="B97" s="92" t="s">
        <v>262</v>
      </c>
      <c r="C97" s="196">
        <f>18000+1260</f>
        <v>19260</v>
      </c>
      <c r="D97" s="151" t="s">
        <v>133</v>
      </c>
      <c r="E97" s="190">
        <f t="shared" si="2"/>
        <v>19260</v>
      </c>
      <c r="F97" s="151"/>
      <c r="G97" s="87"/>
    </row>
    <row r="98" spans="1:8" s="176" customFormat="1" ht="21" customHeight="1">
      <c r="A98" s="102"/>
      <c r="B98" s="93" t="s">
        <v>268</v>
      </c>
      <c r="C98" s="224">
        <f>55000+3850</f>
        <v>58850</v>
      </c>
      <c r="D98" s="195" t="s">
        <v>133</v>
      </c>
      <c r="E98" s="198">
        <f t="shared" si="2"/>
        <v>58850</v>
      </c>
      <c r="F98" s="195"/>
      <c r="G98" s="222"/>
      <c r="H98" s="214"/>
    </row>
    <row r="99" spans="1:7" ht="21" customHeight="1">
      <c r="A99" s="101"/>
      <c r="B99" s="92" t="s">
        <v>257</v>
      </c>
      <c r="C99" s="196">
        <f>2400+168</f>
        <v>2568</v>
      </c>
      <c r="D99" s="151" t="s">
        <v>133</v>
      </c>
      <c r="E99" s="190">
        <f t="shared" si="2"/>
        <v>2568</v>
      </c>
      <c r="F99" s="151"/>
      <c r="G99" s="87"/>
    </row>
    <row r="100" spans="1:7" ht="21" customHeight="1">
      <c r="A100" s="101"/>
      <c r="B100" s="92" t="s">
        <v>260</v>
      </c>
      <c r="C100" s="196">
        <v>12840</v>
      </c>
      <c r="D100" s="151" t="s">
        <v>133</v>
      </c>
      <c r="E100" s="190">
        <f t="shared" si="2"/>
        <v>12840</v>
      </c>
      <c r="F100" s="151"/>
      <c r="G100" s="87"/>
    </row>
    <row r="101" spans="1:7" ht="21" customHeight="1">
      <c r="A101" s="101"/>
      <c r="B101" s="92" t="s">
        <v>269</v>
      </c>
      <c r="C101" s="196">
        <v>53500</v>
      </c>
      <c r="D101" s="151" t="s">
        <v>133</v>
      </c>
      <c r="E101" s="190">
        <f t="shared" si="2"/>
        <v>53500</v>
      </c>
      <c r="F101" s="151"/>
      <c r="G101" s="87"/>
    </row>
    <row r="102" spans="1:7" ht="21" customHeight="1">
      <c r="A102" s="150"/>
      <c r="B102" s="92" t="s">
        <v>257</v>
      </c>
      <c r="C102" s="196">
        <v>2568</v>
      </c>
      <c r="D102" s="151" t="s">
        <v>133</v>
      </c>
      <c r="E102" s="190">
        <f t="shared" si="2"/>
        <v>2568</v>
      </c>
      <c r="F102" s="151"/>
      <c r="G102" s="87"/>
    </row>
    <row r="103" spans="1:7" ht="21" customHeight="1">
      <c r="A103" s="99"/>
      <c r="B103" s="92" t="s">
        <v>258</v>
      </c>
      <c r="C103" s="196">
        <v>8560</v>
      </c>
      <c r="D103" s="151" t="s">
        <v>133</v>
      </c>
      <c r="E103" s="190">
        <f t="shared" si="2"/>
        <v>8560</v>
      </c>
      <c r="F103" s="151"/>
      <c r="G103" s="87"/>
    </row>
    <row r="104" spans="1:7" ht="21" customHeight="1">
      <c r="A104" s="99"/>
      <c r="B104" s="92" t="s">
        <v>270</v>
      </c>
      <c r="C104" s="196">
        <f>48000+3360</f>
        <v>51360</v>
      </c>
      <c r="D104" s="151" t="s">
        <v>133</v>
      </c>
      <c r="E104" s="190">
        <f t="shared" si="2"/>
        <v>51360</v>
      </c>
      <c r="F104" s="151"/>
      <c r="G104" s="87"/>
    </row>
    <row r="105" spans="1:7" ht="21" customHeight="1">
      <c r="A105" s="101"/>
      <c r="B105" s="92" t="s">
        <v>257</v>
      </c>
      <c r="C105" s="196">
        <v>2568</v>
      </c>
      <c r="D105" s="151" t="s">
        <v>133</v>
      </c>
      <c r="E105" s="190">
        <f t="shared" si="2"/>
        <v>2568</v>
      </c>
      <c r="F105" s="151"/>
      <c r="G105" s="87"/>
    </row>
    <row r="106" spans="1:8" s="86" customFormat="1" ht="21" customHeight="1">
      <c r="A106" s="99"/>
      <c r="B106" s="92" t="s">
        <v>258</v>
      </c>
      <c r="C106" s="196">
        <v>8560</v>
      </c>
      <c r="D106" s="151" t="s">
        <v>133</v>
      </c>
      <c r="E106" s="190">
        <f t="shared" si="2"/>
        <v>8560</v>
      </c>
      <c r="F106" s="151"/>
      <c r="G106" s="152"/>
      <c r="H106" s="107"/>
    </row>
    <row r="107" spans="1:7" ht="21" customHeight="1">
      <c r="A107" s="99"/>
      <c r="B107" s="92" t="s">
        <v>271</v>
      </c>
      <c r="C107" s="196">
        <f>44000+3080</f>
        <v>47080</v>
      </c>
      <c r="D107" s="151" t="s">
        <v>133</v>
      </c>
      <c r="E107" s="190">
        <f t="shared" si="2"/>
        <v>47080</v>
      </c>
      <c r="F107" s="151"/>
      <c r="G107" s="87"/>
    </row>
    <row r="108" spans="1:7" ht="21" customHeight="1">
      <c r="A108" s="101"/>
      <c r="B108" s="92" t="s">
        <v>257</v>
      </c>
      <c r="C108" s="196">
        <v>2568</v>
      </c>
      <c r="D108" s="151" t="s">
        <v>133</v>
      </c>
      <c r="E108" s="190">
        <f t="shared" si="2"/>
        <v>2568</v>
      </c>
      <c r="F108" s="151"/>
      <c r="G108" s="87"/>
    </row>
    <row r="109" spans="1:7" ht="21" customHeight="1">
      <c r="A109" s="101"/>
      <c r="B109" s="92" t="s">
        <v>258</v>
      </c>
      <c r="C109" s="196">
        <v>8560</v>
      </c>
      <c r="D109" s="151" t="s">
        <v>133</v>
      </c>
      <c r="E109" s="190">
        <f t="shared" si="2"/>
        <v>8560</v>
      </c>
      <c r="F109" s="151"/>
      <c r="G109" s="87"/>
    </row>
    <row r="110" spans="1:7" ht="21" customHeight="1">
      <c r="A110" s="101"/>
      <c r="B110" s="92" t="s">
        <v>272</v>
      </c>
      <c r="C110" s="196">
        <v>64200</v>
      </c>
      <c r="D110" s="151" t="s">
        <v>133</v>
      </c>
      <c r="E110" s="190">
        <f t="shared" si="2"/>
        <v>64200</v>
      </c>
      <c r="F110" s="151"/>
      <c r="G110" s="87"/>
    </row>
    <row r="111" spans="1:7" ht="21" customHeight="1">
      <c r="A111" s="101"/>
      <c r="B111" s="92" t="s">
        <v>257</v>
      </c>
      <c r="C111" s="196">
        <v>2568</v>
      </c>
      <c r="D111" s="151" t="s">
        <v>133</v>
      </c>
      <c r="E111" s="190">
        <f t="shared" si="2"/>
        <v>2568</v>
      </c>
      <c r="F111" s="151"/>
      <c r="G111" s="87"/>
    </row>
    <row r="112" spans="1:7" ht="21" customHeight="1">
      <c r="A112" s="101"/>
      <c r="B112" s="92" t="s">
        <v>260</v>
      </c>
      <c r="C112" s="196">
        <v>12840</v>
      </c>
      <c r="D112" s="151" t="s">
        <v>133</v>
      </c>
      <c r="E112" s="190">
        <f t="shared" si="2"/>
        <v>12840</v>
      </c>
      <c r="F112" s="151"/>
      <c r="G112" s="87"/>
    </row>
    <row r="113" spans="1:9" ht="21" customHeight="1">
      <c r="A113" s="101"/>
      <c r="B113" s="92" t="s">
        <v>259</v>
      </c>
      <c r="C113" s="196">
        <f>55000+3850</f>
        <v>58850</v>
      </c>
      <c r="D113" s="151" t="s">
        <v>133</v>
      </c>
      <c r="E113" s="190">
        <f t="shared" si="2"/>
        <v>58850</v>
      </c>
      <c r="F113" s="151"/>
      <c r="G113" s="152"/>
      <c r="H113" s="107"/>
      <c r="I113" s="86"/>
    </row>
    <row r="114" spans="1:9" ht="21" customHeight="1">
      <c r="A114" s="101"/>
      <c r="B114" s="92" t="s">
        <v>257</v>
      </c>
      <c r="C114" s="196">
        <v>2568</v>
      </c>
      <c r="D114" s="187" t="s">
        <v>133</v>
      </c>
      <c r="E114" s="190">
        <f t="shared" si="2"/>
        <v>2568</v>
      </c>
      <c r="F114" s="151"/>
      <c r="G114" s="152"/>
      <c r="H114" s="107"/>
      <c r="I114" s="86"/>
    </row>
    <row r="115" spans="1:7" ht="21" customHeight="1">
      <c r="A115" s="101"/>
      <c r="B115" s="92" t="s">
        <v>260</v>
      </c>
      <c r="C115" s="196">
        <v>12840</v>
      </c>
      <c r="D115" s="151" t="s">
        <v>133</v>
      </c>
      <c r="E115" s="190">
        <f t="shared" si="2"/>
        <v>12840</v>
      </c>
      <c r="F115" s="151"/>
      <c r="G115" s="87"/>
    </row>
    <row r="116" spans="1:7" ht="21" customHeight="1">
      <c r="A116" s="101"/>
      <c r="B116" s="92" t="s">
        <v>264</v>
      </c>
      <c r="C116" s="196">
        <v>64200</v>
      </c>
      <c r="D116" s="151" t="s">
        <v>133</v>
      </c>
      <c r="E116" s="190">
        <f t="shared" si="2"/>
        <v>64200</v>
      </c>
      <c r="F116" s="151"/>
      <c r="G116" s="87"/>
    </row>
    <row r="117" spans="1:7" ht="21" customHeight="1">
      <c r="A117" s="101"/>
      <c r="B117" s="92" t="s">
        <v>257</v>
      </c>
      <c r="C117" s="196">
        <v>2568</v>
      </c>
      <c r="D117" s="151" t="s">
        <v>133</v>
      </c>
      <c r="E117" s="190">
        <f t="shared" si="2"/>
        <v>2568</v>
      </c>
      <c r="F117" s="151"/>
      <c r="G117" s="87"/>
    </row>
    <row r="118" spans="1:7" ht="21" customHeight="1">
      <c r="A118" s="101"/>
      <c r="B118" s="92" t="s">
        <v>262</v>
      </c>
      <c r="C118" s="196">
        <f>18000+1260</f>
        <v>19260</v>
      </c>
      <c r="D118" s="151" t="s">
        <v>133</v>
      </c>
      <c r="E118" s="190">
        <f t="shared" si="2"/>
        <v>19260</v>
      </c>
      <c r="F118" s="151"/>
      <c r="G118" s="87"/>
    </row>
    <row r="119" spans="1:7" ht="21" customHeight="1">
      <c r="A119" s="101"/>
      <c r="B119" s="92" t="s">
        <v>273</v>
      </c>
      <c r="C119" s="196">
        <v>64200</v>
      </c>
      <c r="D119" s="151" t="s">
        <v>133</v>
      </c>
      <c r="E119" s="190">
        <f t="shared" si="2"/>
        <v>64200</v>
      </c>
      <c r="F119" s="151"/>
      <c r="G119" s="87"/>
    </row>
    <row r="120" spans="1:7" ht="21" customHeight="1">
      <c r="A120" s="101"/>
      <c r="B120" s="92" t="s">
        <v>257</v>
      </c>
      <c r="C120" s="196">
        <v>2568</v>
      </c>
      <c r="D120" s="151" t="s">
        <v>133</v>
      </c>
      <c r="E120" s="190">
        <f t="shared" si="2"/>
        <v>2568</v>
      </c>
      <c r="F120" s="151"/>
      <c r="G120" s="87"/>
    </row>
    <row r="121" spans="1:8" s="176" customFormat="1" ht="21" customHeight="1">
      <c r="A121" s="102"/>
      <c r="B121" s="93" t="s">
        <v>274</v>
      </c>
      <c r="C121" s="224">
        <v>14980</v>
      </c>
      <c r="D121" s="195" t="s">
        <v>133</v>
      </c>
      <c r="E121" s="198">
        <f t="shared" si="2"/>
        <v>14980</v>
      </c>
      <c r="F121" s="195"/>
      <c r="G121" s="222"/>
      <c r="H121" s="214"/>
    </row>
    <row r="122" spans="1:7" ht="21" customHeight="1">
      <c r="A122" s="101"/>
      <c r="B122" s="92" t="s">
        <v>267</v>
      </c>
      <c r="C122" s="196">
        <f>55000+3850</f>
        <v>58850</v>
      </c>
      <c r="D122" s="151" t="s">
        <v>133</v>
      </c>
      <c r="E122" s="190">
        <f t="shared" si="2"/>
        <v>58850</v>
      </c>
      <c r="F122" s="151"/>
      <c r="G122" s="87"/>
    </row>
    <row r="123" spans="1:7" ht="21" customHeight="1">
      <c r="A123" s="101"/>
      <c r="B123" s="92" t="s">
        <v>257</v>
      </c>
      <c r="C123" s="196">
        <v>2568</v>
      </c>
      <c r="D123" s="151" t="s">
        <v>133</v>
      </c>
      <c r="E123" s="190">
        <f t="shared" si="2"/>
        <v>2568</v>
      </c>
      <c r="F123" s="151"/>
      <c r="G123" s="87"/>
    </row>
    <row r="124" spans="1:7" ht="21" customHeight="1">
      <c r="A124" s="101"/>
      <c r="B124" s="92" t="s">
        <v>262</v>
      </c>
      <c r="C124" s="196">
        <f>18000+1260</f>
        <v>19260</v>
      </c>
      <c r="D124" s="151" t="s">
        <v>133</v>
      </c>
      <c r="E124" s="190">
        <f t="shared" si="2"/>
        <v>19260</v>
      </c>
      <c r="F124" s="151"/>
      <c r="G124" s="87"/>
    </row>
    <row r="125" spans="1:7" ht="21" customHeight="1">
      <c r="A125" s="101"/>
      <c r="B125" s="92" t="s">
        <v>272</v>
      </c>
      <c r="C125" s="196">
        <v>64200</v>
      </c>
      <c r="D125" s="151" t="s">
        <v>133</v>
      </c>
      <c r="E125" s="190">
        <f t="shared" si="2"/>
        <v>64200</v>
      </c>
      <c r="F125" s="151"/>
      <c r="G125" s="87"/>
    </row>
    <row r="126" spans="1:7" ht="21" customHeight="1">
      <c r="A126" s="101"/>
      <c r="B126" s="92" t="s">
        <v>257</v>
      </c>
      <c r="C126" s="196">
        <v>2568</v>
      </c>
      <c r="D126" s="151" t="s">
        <v>133</v>
      </c>
      <c r="E126" s="190">
        <f t="shared" si="2"/>
        <v>2568</v>
      </c>
      <c r="F126" s="151"/>
      <c r="G126" s="87"/>
    </row>
    <row r="127" spans="1:7" ht="21" customHeight="1">
      <c r="A127" s="101"/>
      <c r="B127" s="92" t="s">
        <v>260</v>
      </c>
      <c r="C127" s="196">
        <v>12840</v>
      </c>
      <c r="D127" s="151" t="s">
        <v>133</v>
      </c>
      <c r="E127" s="190">
        <f t="shared" si="2"/>
        <v>12840</v>
      </c>
      <c r="F127" s="151"/>
      <c r="G127" s="87"/>
    </row>
    <row r="128" spans="1:7" ht="21" customHeight="1">
      <c r="A128" s="101"/>
      <c r="B128" s="92" t="s">
        <v>275</v>
      </c>
      <c r="C128" s="196">
        <f>62000+4340</f>
        <v>66340</v>
      </c>
      <c r="D128" s="151" t="s">
        <v>133</v>
      </c>
      <c r="E128" s="190">
        <f t="shared" si="2"/>
        <v>66340</v>
      </c>
      <c r="F128" s="151"/>
      <c r="G128" s="87"/>
    </row>
    <row r="129" spans="1:7" ht="21" customHeight="1">
      <c r="A129" s="101"/>
      <c r="B129" s="92" t="s">
        <v>257</v>
      </c>
      <c r="C129" s="196">
        <v>2568</v>
      </c>
      <c r="D129" s="151" t="s">
        <v>133</v>
      </c>
      <c r="E129" s="190">
        <f t="shared" si="2"/>
        <v>2568</v>
      </c>
      <c r="F129" s="151"/>
      <c r="G129" s="87"/>
    </row>
    <row r="130" spans="1:7" ht="21" customHeight="1">
      <c r="A130" s="101"/>
      <c r="B130" s="92" t="s">
        <v>260</v>
      </c>
      <c r="C130" s="196">
        <v>12840</v>
      </c>
      <c r="D130" s="151" t="s">
        <v>133</v>
      </c>
      <c r="E130" s="190">
        <f t="shared" si="2"/>
        <v>12840</v>
      </c>
      <c r="F130" s="151"/>
      <c r="G130" s="87"/>
    </row>
    <row r="131" spans="1:7" ht="21" customHeight="1">
      <c r="A131" s="101"/>
      <c r="B131" s="92" t="s">
        <v>276</v>
      </c>
      <c r="C131" s="196">
        <f>55000+3850</f>
        <v>58850</v>
      </c>
      <c r="D131" s="151" t="s">
        <v>133</v>
      </c>
      <c r="E131" s="190">
        <f t="shared" si="2"/>
        <v>58850</v>
      </c>
      <c r="F131" s="151"/>
      <c r="G131" s="87"/>
    </row>
    <row r="132" spans="1:7" ht="21" customHeight="1">
      <c r="A132" s="101"/>
      <c r="B132" s="92" t="s">
        <v>257</v>
      </c>
      <c r="C132" s="196">
        <v>2568</v>
      </c>
      <c r="D132" s="151" t="s">
        <v>133</v>
      </c>
      <c r="E132" s="190">
        <f t="shared" si="2"/>
        <v>2568</v>
      </c>
      <c r="F132" s="151"/>
      <c r="G132" s="87"/>
    </row>
    <row r="133" spans="1:7" ht="21" customHeight="1">
      <c r="A133" s="101"/>
      <c r="B133" s="92" t="s">
        <v>277</v>
      </c>
      <c r="C133" s="196">
        <v>10700</v>
      </c>
      <c r="D133" s="151" t="s">
        <v>133</v>
      </c>
      <c r="E133" s="190">
        <f t="shared" si="2"/>
        <v>10700</v>
      </c>
      <c r="F133" s="151"/>
      <c r="G133" s="87"/>
    </row>
    <row r="134" spans="1:7" ht="21" customHeight="1">
      <c r="A134" s="101"/>
      <c r="B134" s="92" t="s">
        <v>278</v>
      </c>
      <c r="C134" s="196">
        <f>53000+3710</f>
        <v>56710</v>
      </c>
      <c r="D134" s="151" t="s">
        <v>133</v>
      </c>
      <c r="E134" s="190">
        <f t="shared" si="2"/>
        <v>56710</v>
      </c>
      <c r="F134" s="151"/>
      <c r="G134" s="87"/>
    </row>
    <row r="135" spans="1:7" ht="21" customHeight="1">
      <c r="A135" s="101"/>
      <c r="B135" s="92" t="s">
        <v>257</v>
      </c>
      <c r="C135" s="196">
        <v>2568</v>
      </c>
      <c r="D135" s="151" t="s">
        <v>133</v>
      </c>
      <c r="E135" s="190">
        <f t="shared" si="2"/>
        <v>2568</v>
      </c>
      <c r="F135" s="151"/>
      <c r="G135" s="87"/>
    </row>
    <row r="136" spans="1:7" ht="21" customHeight="1">
      <c r="A136" s="101"/>
      <c r="B136" s="92" t="s">
        <v>258</v>
      </c>
      <c r="C136" s="196">
        <v>8560</v>
      </c>
      <c r="D136" s="151" t="s">
        <v>133</v>
      </c>
      <c r="E136" s="190">
        <f t="shared" si="2"/>
        <v>8560</v>
      </c>
      <c r="F136" s="151"/>
      <c r="G136" s="152"/>
    </row>
    <row r="137" spans="1:7" ht="21" customHeight="1">
      <c r="A137" s="101"/>
      <c r="B137" s="92" t="s">
        <v>279</v>
      </c>
      <c r="C137" s="196">
        <v>53500</v>
      </c>
      <c r="D137" s="151" t="s">
        <v>133</v>
      </c>
      <c r="E137" s="190">
        <f t="shared" si="2"/>
        <v>53500</v>
      </c>
      <c r="F137" s="151"/>
      <c r="G137" s="87"/>
    </row>
    <row r="138" spans="1:7" ht="21" customHeight="1">
      <c r="A138" s="101"/>
      <c r="B138" s="92" t="s">
        <v>257</v>
      </c>
      <c r="C138" s="196">
        <v>2568</v>
      </c>
      <c r="D138" s="151" t="s">
        <v>133</v>
      </c>
      <c r="E138" s="190">
        <f t="shared" si="2"/>
        <v>2568</v>
      </c>
      <c r="F138" s="151"/>
      <c r="G138" s="87"/>
    </row>
    <row r="139" spans="1:7" ht="21" customHeight="1">
      <c r="A139" s="101"/>
      <c r="B139" s="92" t="s">
        <v>258</v>
      </c>
      <c r="C139" s="196">
        <v>8560</v>
      </c>
      <c r="D139" s="151" t="s">
        <v>133</v>
      </c>
      <c r="E139" s="190">
        <f t="shared" si="2"/>
        <v>8560</v>
      </c>
      <c r="F139" s="151"/>
      <c r="G139" s="87"/>
    </row>
    <row r="140" spans="1:7" ht="21" customHeight="1">
      <c r="A140" s="101" t="s">
        <v>280</v>
      </c>
      <c r="B140" s="92" t="s">
        <v>281</v>
      </c>
      <c r="C140" s="196">
        <v>115000</v>
      </c>
      <c r="D140" s="151" t="s">
        <v>133</v>
      </c>
      <c r="E140" s="190">
        <f t="shared" si="2"/>
        <v>115000</v>
      </c>
      <c r="F140" s="151"/>
      <c r="G140" s="87"/>
    </row>
    <row r="141" spans="1:7" ht="21" customHeight="1">
      <c r="A141" s="101"/>
      <c r="B141" s="92" t="s">
        <v>282</v>
      </c>
      <c r="C141" s="196">
        <v>190000</v>
      </c>
      <c r="D141" s="151" t="s">
        <v>133</v>
      </c>
      <c r="E141" s="190">
        <f t="shared" si="2"/>
        <v>190000</v>
      </c>
      <c r="F141" s="151"/>
      <c r="G141" s="87"/>
    </row>
    <row r="142" spans="1:7" ht="21" customHeight="1">
      <c r="A142" s="101"/>
      <c r="B142" s="92" t="s">
        <v>283</v>
      </c>
      <c r="C142" s="196">
        <v>45000</v>
      </c>
      <c r="D142" s="151" t="s">
        <v>133</v>
      </c>
      <c r="E142" s="190">
        <f aca="true" t="shared" si="3" ref="E142:E148">+C142</f>
        <v>45000</v>
      </c>
      <c r="F142" s="151"/>
      <c r="G142" s="87"/>
    </row>
    <row r="143" spans="1:7" ht="21" customHeight="1">
      <c r="A143" s="101"/>
      <c r="B143" s="92" t="s">
        <v>284</v>
      </c>
      <c r="C143" s="196">
        <v>9000</v>
      </c>
      <c r="D143" s="151" t="s">
        <v>133</v>
      </c>
      <c r="E143" s="190">
        <f t="shared" si="3"/>
        <v>9000</v>
      </c>
      <c r="F143" s="151"/>
      <c r="G143" s="87"/>
    </row>
    <row r="144" spans="1:8" s="176" customFormat="1" ht="21" customHeight="1">
      <c r="A144" s="102"/>
      <c r="B144" s="93" t="s">
        <v>285</v>
      </c>
      <c r="C144" s="224">
        <v>410000</v>
      </c>
      <c r="D144" s="195" t="s">
        <v>133</v>
      </c>
      <c r="E144" s="198">
        <f t="shared" si="3"/>
        <v>410000</v>
      </c>
      <c r="F144" s="195"/>
      <c r="G144" s="222"/>
      <c r="H144" s="214"/>
    </row>
    <row r="145" spans="1:7" ht="21" customHeight="1">
      <c r="A145" s="101"/>
      <c r="B145" s="92" t="s">
        <v>286</v>
      </c>
      <c r="C145" s="196">
        <v>141000</v>
      </c>
      <c r="D145" s="151" t="s">
        <v>133</v>
      </c>
      <c r="E145" s="190">
        <f t="shared" si="3"/>
        <v>141000</v>
      </c>
      <c r="F145" s="151"/>
      <c r="G145" s="87"/>
    </row>
    <row r="146" spans="1:7" ht="21" customHeight="1">
      <c r="A146" s="101" t="s">
        <v>337</v>
      </c>
      <c r="B146" s="92" t="s">
        <v>300</v>
      </c>
      <c r="C146" s="196">
        <v>8200</v>
      </c>
      <c r="D146" s="151" t="s">
        <v>133</v>
      </c>
      <c r="E146" s="190">
        <f t="shared" si="3"/>
        <v>8200</v>
      </c>
      <c r="F146" s="151"/>
      <c r="G146" s="87"/>
    </row>
    <row r="147" spans="1:7" ht="21" customHeight="1">
      <c r="A147" s="101" t="s">
        <v>338</v>
      </c>
      <c r="B147" s="92" t="s">
        <v>301</v>
      </c>
      <c r="C147" s="196">
        <v>4500</v>
      </c>
      <c r="D147" s="151" t="s">
        <v>133</v>
      </c>
      <c r="E147" s="190">
        <f t="shared" si="3"/>
        <v>4500</v>
      </c>
      <c r="F147" s="151"/>
      <c r="G147" s="87"/>
    </row>
    <row r="148" spans="1:7" ht="21" customHeight="1">
      <c r="A148" s="101" t="s">
        <v>339</v>
      </c>
      <c r="B148" s="92" t="s">
        <v>302</v>
      </c>
      <c r="C148" s="196">
        <v>1499455</v>
      </c>
      <c r="D148" s="151" t="s">
        <v>133</v>
      </c>
      <c r="E148" s="190">
        <f t="shared" si="3"/>
        <v>1499455</v>
      </c>
      <c r="F148" s="151"/>
      <c r="G148" s="87"/>
    </row>
    <row r="149" spans="1:7" ht="21" customHeight="1">
      <c r="A149" s="223"/>
      <c r="B149" s="92" t="s">
        <v>303</v>
      </c>
      <c r="C149" s="196"/>
      <c r="D149" s="151"/>
      <c r="E149" s="190"/>
      <c r="F149" s="151"/>
      <c r="G149" s="87"/>
    </row>
    <row r="150" spans="1:7" ht="21" customHeight="1">
      <c r="A150" s="223"/>
      <c r="B150" s="92" t="s">
        <v>304</v>
      </c>
      <c r="C150" s="196"/>
      <c r="D150" s="151"/>
      <c r="E150" s="190"/>
      <c r="F150" s="151"/>
      <c r="G150" s="87"/>
    </row>
    <row r="151" spans="1:7" ht="21" customHeight="1">
      <c r="A151" s="101" t="s">
        <v>340</v>
      </c>
      <c r="B151" s="92" t="s">
        <v>305</v>
      </c>
      <c r="C151" s="196">
        <f>3750+8750</f>
        <v>12500</v>
      </c>
      <c r="D151" s="151" t="s">
        <v>133</v>
      </c>
      <c r="E151" s="190">
        <f>+C151</f>
        <v>12500</v>
      </c>
      <c r="F151" s="151"/>
      <c r="G151" s="87"/>
    </row>
    <row r="152" spans="1:7" ht="21" customHeight="1">
      <c r="A152" s="101"/>
      <c r="B152" s="92" t="s">
        <v>306</v>
      </c>
      <c r="C152" s="196"/>
      <c r="D152" s="151"/>
      <c r="E152" s="190"/>
      <c r="F152" s="151"/>
      <c r="G152" s="87"/>
    </row>
    <row r="153" spans="1:7" ht="21" customHeight="1">
      <c r="A153" s="101" t="s">
        <v>341</v>
      </c>
      <c r="B153" s="92" t="s">
        <v>307</v>
      </c>
      <c r="C153" s="196">
        <v>14980</v>
      </c>
      <c r="D153" s="151" t="s">
        <v>133</v>
      </c>
      <c r="E153" s="190">
        <f>+C153</f>
        <v>14980</v>
      </c>
      <c r="F153" s="151"/>
      <c r="G153" s="87"/>
    </row>
    <row r="154" spans="1:7" ht="21" customHeight="1">
      <c r="A154" s="101"/>
      <c r="B154" s="92" t="s">
        <v>308</v>
      </c>
      <c r="C154" s="196">
        <v>5992</v>
      </c>
      <c r="D154" s="151" t="s">
        <v>133</v>
      </c>
      <c r="E154" s="190">
        <f>+C154</f>
        <v>5992</v>
      </c>
      <c r="F154" s="151"/>
      <c r="G154" s="87"/>
    </row>
    <row r="155" spans="1:7" ht="21" customHeight="1">
      <c r="A155" s="101" t="s">
        <v>342</v>
      </c>
      <c r="B155" s="92" t="s">
        <v>309</v>
      </c>
      <c r="C155" s="196"/>
      <c r="D155" s="151"/>
      <c r="E155" s="190"/>
      <c r="F155" s="151"/>
      <c r="G155" s="87"/>
    </row>
    <row r="156" spans="1:7" ht="21" customHeight="1">
      <c r="A156" s="101"/>
      <c r="B156" s="95" t="s">
        <v>310</v>
      </c>
      <c r="C156" s="196">
        <v>45000</v>
      </c>
      <c r="D156" s="151" t="s">
        <v>133</v>
      </c>
      <c r="E156" s="190">
        <f>+C156</f>
        <v>45000</v>
      </c>
      <c r="F156" s="151"/>
      <c r="G156" s="87"/>
    </row>
    <row r="157" spans="1:7" ht="21" customHeight="1">
      <c r="A157" s="101"/>
      <c r="B157" s="95">
        <v>83066352</v>
      </c>
      <c r="C157" s="196"/>
      <c r="D157" s="151"/>
      <c r="E157" s="190"/>
      <c r="F157" s="151"/>
      <c r="G157" s="87"/>
    </row>
    <row r="158" spans="1:7" ht="21" customHeight="1">
      <c r="A158" s="101" t="s">
        <v>343</v>
      </c>
      <c r="B158" s="92" t="s">
        <v>311</v>
      </c>
      <c r="C158" s="196">
        <v>15500</v>
      </c>
      <c r="D158" s="151" t="s">
        <v>133</v>
      </c>
      <c r="E158" s="190">
        <f>+C158</f>
        <v>15500</v>
      </c>
      <c r="F158" s="151"/>
      <c r="G158" s="87"/>
    </row>
    <row r="159" spans="1:7" ht="21" customHeight="1">
      <c r="A159" s="122"/>
      <c r="B159" s="92" t="s">
        <v>312</v>
      </c>
      <c r="C159" s="196"/>
      <c r="D159" s="151"/>
      <c r="E159" s="190"/>
      <c r="F159" s="151"/>
      <c r="G159" s="87"/>
    </row>
    <row r="160" spans="1:7" ht="21" customHeight="1">
      <c r="A160" s="122"/>
      <c r="B160" s="92" t="s">
        <v>313</v>
      </c>
      <c r="C160" s="196"/>
      <c r="D160" s="151"/>
      <c r="E160" s="190"/>
      <c r="F160" s="151"/>
      <c r="G160" s="87"/>
    </row>
    <row r="161" spans="1:7" ht="21" customHeight="1">
      <c r="A161" s="122"/>
      <c r="B161" s="92" t="s">
        <v>314</v>
      </c>
      <c r="C161" s="196"/>
      <c r="D161" s="151"/>
      <c r="E161" s="190"/>
      <c r="F161" s="151"/>
      <c r="G161" s="87"/>
    </row>
    <row r="162" spans="1:7" ht="21" customHeight="1">
      <c r="A162" s="122"/>
      <c r="B162" s="92" t="s">
        <v>315</v>
      </c>
      <c r="C162" s="196"/>
      <c r="D162" s="151"/>
      <c r="E162" s="190"/>
      <c r="F162" s="151"/>
      <c r="G162" s="87"/>
    </row>
    <row r="163" spans="1:7" ht="21" customHeight="1">
      <c r="A163" s="122"/>
      <c r="B163" s="92" t="s">
        <v>316</v>
      </c>
      <c r="C163" s="196">
        <v>13000</v>
      </c>
      <c r="D163" s="151" t="s">
        <v>133</v>
      </c>
      <c r="E163" s="190">
        <f>+C163</f>
        <v>13000</v>
      </c>
      <c r="F163" s="151"/>
      <c r="G163" s="87"/>
    </row>
    <row r="164" spans="1:7" ht="21" customHeight="1">
      <c r="A164" s="122"/>
      <c r="B164" s="92" t="s">
        <v>317</v>
      </c>
      <c r="C164" s="196"/>
      <c r="D164" s="151"/>
      <c r="E164" s="190"/>
      <c r="F164" s="151"/>
      <c r="G164" s="87"/>
    </row>
    <row r="165" spans="1:7" ht="21" customHeight="1">
      <c r="A165" s="122"/>
      <c r="B165" s="92" t="s">
        <v>318</v>
      </c>
      <c r="C165" s="196"/>
      <c r="D165" s="151"/>
      <c r="E165" s="190"/>
      <c r="F165" s="151"/>
      <c r="G165" s="87"/>
    </row>
    <row r="166" spans="1:7" ht="21" customHeight="1">
      <c r="A166" s="122"/>
      <c r="B166" s="92" t="s">
        <v>315</v>
      </c>
      <c r="C166" s="196"/>
      <c r="D166" s="151"/>
      <c r="E166" s="190"/>
      <c r="F166" s="151"/>
      <c r="G166" s="87"/>
    </row>
    <row r="167" spans="1:8" s="176" customFormat="1" ht="21" customHeight="1">
      <c r="A167" s="227"/>
      <c r="B167" s="93" t="s">
        <v>319</v>
      </c>
      <c r="C167" s="224">
        <v>13000</v>
      </c>
      <c r="D167" s="195" t="s">
        <v>133</v>
      </c>
      <c r="E167" s="198">
        <f>+C167</f>
        <v>13000</v>
      </c>
      <c r="F167" s="195"/>
      <c r="G167" s="222"/>
      <c r="H167" s="214"/>
    </row>
    <row r="168" spans="1:7" ht="21" customHeight="1">
      <c r="A168" s="122"/>
      <c r="B168" s="92" t="s">
        <v>317</v>
      </c>
      <c r="C168" s="196"/>
      <c r="D168" s="151"/>
      <c r="E168" s="190"/>
      <c r="F168" s="151"/>
      <c r="G168" s="87"/>
    </row>
    <row r="169" spans="1:7" ht="21" customHeight="1">
      <c r="A169" s="122"/>
      <c r="B169" s="92" t="s">
        <v>318</v>
      </c>
      <c r="C169" s="196"/>
      <c r="D169" s="151"/>
      <c r="E169" s="190"/>
      <c r="F169" s="151"/>
      <c r="G169" s="87"/>
    </row>
    <row r="170" spans="1:7" ht="21" customHeight="1">
      <c r="A170" s="122"/>
      <c r="B170" s="92" t="s">
        <v>315</v>
      </c>
      <c r="C170" s="196"/>
      <c r="D170" s="151"/>
      <c r="E170" s="190"/>
      <c r="F170" s="151"/>
      <c r="G170" s="87"/>
    </row>
    <row r="171" spans="1:7" ht="21" customHeight="1">
      <c r="A171" s="122"/>
      <c r="B171" s="92" t="s">
        <v>320</v>
      </c>
      <c r="C171" s="196">
        <v>15500</v>
      </c>
      <c r="D171" s="151" t="s">
        <v>133</v>
      </c>
      <c r="E171" s="190">
        <f>+C171</f>
        <v>15500</v>
      </c>
      <c r="F171" s="151"/>
      <c r="G171" s="87"/>
    </row>
    <row r="172" spans="1:7" ht="21" customHeight="1">
      <c r="A172" s="122"/>
      <c r="B172" s="92" t="s">
        <v>312</v>
      </c>
      <c r="C172" s="196"/>
      <c r="D172" s="151"/>
      <c r="E172" s="190"/>
      <c r="F172" s="151"/>
      <c r="G172" s="87"/>
    </row>
    <row r="173" spans="1:7" ht="21" customHeight="1">
      <c r="A173" s="122"/>
      <c r="B173" s="92" t="s">
        <v>313</v>
      </c>
      <c r="C173" s="196"/>
      <c r="D173" s="151"/>
      <c r="E173" s="190"/>
      <c r="F173" s="151"/>
      <c r="G173" s="87"/>
    </row>
    <row r="174" spans="1:7" ht="21" customHeight="1">
      <c r="A174" s="122"/>
      <c r="B174" s="92" t="s">
        <v>314</v>
      </c>
      <c r="C174" s="196"/>
      <c r="D174" s="151"/>
      <c r="E174" s="190"/>
      <c r="F174" s="151"/>
      <c r="G174" s="87"/>
    </row>
    <row r="175" spans="1:7" ht="21" customHeight="1">
      <c r="A175" s="122"/>
      <c r="B175" s="92" t="s">
        <v>315</v>
      </c>
      <c r="C175" s="196"/>
      <c r="D175" s="151"/>
      <c r="E175" s="190"/>
      <c r="F175" s="151"/>
      <c r="G175" s="87"/>
    </row>
    <row r="176" spans="1:7" ht="21" customHeight="1">
      <c r="A176" s="122"/>
      <c r="B176" s="92" t="s">
        <v>321</v>
      </c>
      <c r="C176" s="196">
        <v>5800</v>
      </c>
      <c r="D176" s="151" t="s">
        <v>133</v>
      </c>
      <c r="E176" s="190">
        <f>+C176</f>
        <v>5800</v>
      </c>
      <c r="F176" s="151"/>
      <c r="G176" s="87"/>
    </row>
    <row r="177" spans="1:7" ht="21" customHeight="1">
      <c r="A177" s="122"/>
      <c r="B177" s="92" t="s">
        <v>322</v>
      </c>
      <c r="C177" s="196"/>
      <c r="D177" s="151"/>
      <c r="E177" s="190"/>
      <c r="F177" s="151"/>
      <c r="G177" s="87"/>
    </row>
    <row r="178" spans="1:7" ht="21" customHeight="1">
      <c r="A178" s="101" t="s">
        <v>344</v>
      </c>
      <c r="B178" s="92" t="s">
        <v>323</v>
      </c>
      <c r="C178" s="196">
        <v>38000</v>
      </c>
      <c r="D178" s="151" t="s">
        <v>133</v>
      </c>
      <c r="E178" s="190">
        <f>+C178</f>
        <v>38000</v>
      </c>
      <c r="F178" s="151"/>
      <c r="G178" s="87"/>
    </row>
    <row r="179" spans="1:7" ht="21" customHeight="1">
      <c r="A179" s="101"/>
      <c r="B179" s="95" t="s">
        <v>324</v>
      </c>
      <c r="C179" s="196"/>
      <c r="D179" s="151"/>
      <c r="E179" s="190"/>
      <c r="F179" s="151"/>
      <c r="G179" s="87"/>
    </row>
    <row r="180" spans="1:7" ht="21" customHeight="1">
      <c r="A180" s="101" t="s">
        <v>345</v>
      </c>
      <c r="B180" s="92" t="s">
        <v>325</v>
      </c>
      <c r="C180" s="196">
        <v>48000</v>
      </c>
      <c r="D180" s="151" t="s">
        <v>133</v>
      </c>
      <c r="E180" s="190">
        <f>+C180</f>
        <v>48000</v>
      </c>
      <c r="F180" s="151"/>
      <c r="G180" s="87"/>
    </row>
    <row r="181" spans="1:7" ht="21" customHeight="1">
      <c r="A181" s="122"/>
      <c r="B181" s="95" t="s">
        <v>326</v>
      </c>
      <c r="C181" s="196"/>
      <c r="D181" s="151"/>
      <c r="E181" s="190"/>
      <c r="F181" s="151"/>
      <c r="G181" s="87"/>
    </row>
    <row r="182" spans="1:7" ht="21" customHeight="1">
      <c r="A182" s="122"/>
      <c r="B182" s="95" t="s">
        <v>327</v>
      </c>
      <c r="C182" s="196"/>
      <c r="D182" s="151"/>
      <c r="E182" s="190"/>
      <c r="F182" s="151"/>
      <c r="G182" s="87"/>
    </row>
    <row r="183" spans="1:7" ht="21" customHeight="1">
      <c r="A183" s="122"/>
      <c r="B183" s="95" t="s">
        <v>328</v>
      </c>
      <c r="C183" s="196"/>
      <c r="D183" s="151"/>
      <c r="E183" s="190"/>
      <c r="F183" s="151"/>
      <c r="G183" s="87"/>
    </row>
    <row r="184" spans="1:7" ht="21" customHeight="1">
      <c r="A184" s="101" t="s">
        <v>346</v>
      </c>
      <c r="B184" s="92" t="s">
        <v>329</v>
      </c>
      <c r="C184" s="196">
        <f>5500+5500</f>
        <v>11000</v>
      </c>
      <c r="D184" s="151" t="s">
        <v>133</v>
      </c>
      <c r="E184" s="190">
        <f>+C184</f>
        <v>11000</v>
      </c>
      <c r="F184" s="151"/>
      <c r="G184" s="87"/>
    </row>
    <row r="185" spans="1:7" ht="21" customHeight="1">
      <c r="A185" s="101" t="s">
        <v>347</v>
      </c>
      <c r="B185" s="92" t="s">
        <v>330</v>
      </c>
      <c r="C185" s="196">
        <v>99600</v>
      </c>
      <c r="D185" s="151" t="s">
        <v>133</v>
      </c>
      <c r="E185" s="190">
        <f>+C185</f>
        <v>99600</v>
      </c>
      <c r="F185" s="151"/>
      <c r="G185" s="87"/>
    </row>
    <row r="186" spans="1:7" ht="21" customHeight="1">
      <c r="A186" s="122"/>
      <c r="B186" s="95" t="s">
        <v>331</v>
      </c>
      <c r="C186" s="196"/>
      <c r="D186" s="151"/>
      <c r="E186" s="190"/>
      <c r="F186" s="151"/>
      <c r="G186" s="87"/>
    </row>
    <row r="187" spans="1:7" ht="21" customHeight="1">
      <c r="A187" s="122"/>
      <c r="B187" s="95" t="s">
        <v>332</v>
      </c>
      <c r="C187" s="196"/>
      <c r="D187" s="151"/>
      <c r="E187" s="190"/>
      <c r="F187" s="151"/>
      <c r="G187" s="87"/>
    </row>
    <row r="188" spans="1:7" ht="21" customHeight="1">
      <c r="A188" s="122"/>
      <c r="B188" s="95" t="s">
        <v>333</v>
      </c>
      <c r="C188" s="196"/>
      <c r="D188" s="151"/>
      <c r="E188" s="190"/>
      <c r="F188" s="151"/>
      <c r="G188" s="87"/>
    </row>
    <row r="189" spans="1:7" ht="21" customHeight="1">
      <c r="A189" s="122"/>
      <c r="B189" s="95" t="s">
        <v>334</v>
      </c>
      <c r="C189" s="196"/>
      <c r="D189" s="151"/>
      <c r="E189" s="190"/>
      <c r="F189" s="151"/>
      <c r="G189" s="87"/>
    </row>
    <row r="190" spans="1:8" s="176" customFormat="1" ht="21" customHeight="1">
      <c r="A190" s="227"/>
      <c r="B190" s="231" t="s">
        <v>335</v>
      </c>
      <c r="C190" s="224"/>
      <c r="D190" s="195"/>
      <c r="E190" s="198"/>
      <c r="F190" s="195"/>
      <c r="G190" s="222"/>
      <c r="H190" s="214"/>
    </row>
    <row r="191" spans="1:7" ht="21" customHeight="1">
      <c r="A191" s="101" t="s">
        <v>348</v>
      </c>
      <c r="B191" s="92" t="s">
        <v>353</v>
      </c>
      <c r="C191" s="196"/>
      <c r="D191" s="151"/>
      <c r="E191" s="190"/>
      <c r="F191" s="151"/>
      <c r="G191" s="87"/>
    </row>
    <row r="192" spans="1:7" ht="21" customHeight="1">
      <c r="A192" s="122"/>
      <c r="B192" s="229" t="s">
        <v>354</v>
      </c>
      <c r="C192" s="196">
        <v>399900</v>
      </c>
      <c r="D192" s="151" t="s">
        <v>133</v>
      </c>
      <c r="E192" s="190">
        <f aca="true" t="shared" si="4" ref="E192:E201">+C192</f>
        <v>399900</v>
      </c>
      <c r="F192" s="151"/>
      <c r="G192" s="87"/>
    </row>
    <row r="193" spans="1:7" ht="21" customHeight="1">
      <c r="A193" s="122"/>
      <c r="B193" s="229" t="s">
        <v>355</v>
      </c>
      <c r="C193" s="196">
        <v>59800</v>
      </c>
      <c r="D193" s="151" t="s">
        <v>133</v>
      </c>
      <c r="E193" s="190">
        <f t="shared" si="4"/>
        <v>59800</v>
      </c>
      <c r="F193" s="151"/>
      <c r="G193" s="87"/>
    </row>
    <row r="194" spans="1:7" ht="21" customHeight="1">
      <c r="A194" s="122"/>
      <c r="B194" s="229" t="s">
        <v>189</v>
      </c>
      <c r="C194" s="196">
        <v>59800</v>
      </c>
      <c r="D194" s="151" t="s">
        <v>133</v>
      </c>
      <c r="E194" s="190">
        <f t="shared" si="4"/>
        <v>59800</v>
      </c>
      <c r="F194" s="151"/>
      <c r="G194" s="87"/>
    </row>
    <row r="195" spans="1:7" ht="21" customHeight="1">
      <c r="A195" s="122"/>
      <c r="B195" s="229" t="s">
        <v>356</v>
      </c>
      <c r="C195" s="196">
        <v>225900</v>
      </c>
      <c r="D195" s="151" t="s">
        <v>133</v>
      </c>
      <c r="E195" s="190">
        <f t="shared" si="4"/>
        <v>225900</v>
      </c>
      <c r="F195" s="151"/>
      <c r="G195" s="87"/>
    </row>
    <row r="196" spans="1:7" ht="21" customHeight="1">
      <c r="A196" s="122"/>
      <c r="B196" s="229" t="s">
        <v>357</v>
      </c>
      <c r="C196" s="196">
        <v>34800</v>
      </c>
      <c r="D196" s="151" t="s">
        <v>133</v>
      </c>
      <c r="E196" s="190">
        <f t="shared" si="4"/>
        <v>34800</v>
      </c>
      <c r="F196" s="151"/>
      <c r="G196" s="87"/>
    </row>
    <row r="197" spans="1:7" ht="21" customHeight="1">
      <c r="A197" s="122"/>
      <c r="B197" s="229" t="s">
        <v>358</v>
      </c>
      <c r="C197" s="196">
        <v>31000</v>
      </c>
      <c r="D197" s="151" t="s">
        <v>133</v>
      </c>
      <c r="E197" s="190">
        <f t="shared" si="4"/>
        <v>31000</v>
      </c>
      <c r="F197" s="151"/>
      <c r="G197" s="87"/>
    </row>
    <row r="198" spans="1:7" ht="21" customHeight="1">
      <c r="A198" s="122"/>
      <c r="B198" s="229" t="s">
        <v>188</v>
      </c>
      <c r="C198" s="196">
        <v>59800</v>
      </c>
      <c r="D198" s="151" t="s">
        <v>133</v>
      </c>
      <c r="E198" s="190">
        <f t="shared" si="4"/>
        <v>59800</v>
      </c>
      <c r="F198" s="151"/>
      <c r="G198" s="87"/>
    </row>
    <row r="199" spans="1:7" ht="21" customHeight="1">
      <c r="A199" s="101" t="s">
        <v>349</v>
      </c>
      <c r="B199" s="92" t="s">
        <v>359</v>
      </c>
      <c r="C199" s="196">
        <v>7500</v>
      </c>
      <c r="D199" s="151" t="s">
        <v>133</v>
      </c>
      <c r="E199" s="190">
        <f t="shared" si="4"/>
        <v>7500</v>
      </c>
      <c r="F199" s="151"/>
      <c r="G199" s="87"/>
    </row>
    <row r="200" spans="1:7" ht="21" customHeight="1">
      <c r="A200" s="101" t="s">
        <v>350</v>
      </c>
      <c r="B200" s="92" t="s">
        <v>360</v>
      </c>
      <c r="C200" s="196">
        <v>11973.3</v>
      </c>
      <c r="D200" s="151" t="s">
        <v>133</v>
      </c>
      <c r="E200" s="190">
        <f t="shared" si="4"/>
        <v>11973.3</v>
      </c>
      <c r="F200" s="151"/>
      <c r="G200" s="87"/>
    </row>
    <row r="201" spans="1:7" ht="21" customHeight="1">
      <c r="A201" s="101" t="s">
        <v>351</v>
      </c>
      <c r="B201" s="92" t="s">
        <v>361</v>
      </c>
      <c r="C201" s="196">
        <v>68000</v>
      </c>
      <c r="D201" s="151" t="s">
        <v>133</v>
      </c>
      <c r="E201" s="190">
        <f t="shared" si="4"/>
        <v>68000</v>
      </c>
      <c r="F201" s="151"/>
      <c r="G201" s="87"/>
    </row>
    <row r="202" spans="1:7" ht="21" customHeight="1">
      <c r="A202" s="122"/>
      <c r="B202" s="95" t="s">
        <v>336</v>
      </c>
      <c r="C202" s="196"/>
      <c r="D202" s="151"/>
      <c r="E202" s="190"/>
      <c r="F202" s="151"/>
      <c r="G202" s="87"/>
    </row>
    <row r="203" spans="1:7" ht="21" customHeight="1">
      <c r="A203" s="101" t="s">
        <v>352</v>
      </c>
      <c r="B203" s="92" t="s">
        <v>362</v>
      </c>
      <c r="C203" s="196">
        <v>96000</v>
      </c>
      <c r="D203" s="151" t="s">
        <v>133</v>
      </c>
      <c r="E203" s="190">
        <f>+C203</f>
        <v>96000</v>
      </c>
      <c r="F203" s="187"/>
      <c r="G203" s="87"/>
    </row>
    <row r="204" spans="1:7" ht="21" customHeight="1" thickBot="1">
      <c r="A204" s="223"/>
      <c r="B204" s="92"/>
      <c r="C204" s="188"/>
      <c r="D204" s="151"/>
      <c r="E204" s="190"/>
      <c r="F204" s="194">
        <f>SUM(E77:E203)</f>
        <v>5352518.3</v>
      </c>
      <c r="G204" s="87"/>
    </row>
    <row r="205" spans="1:7" ht="21" customHeight="1" thickTop="1">
      <c r="A205" s="103" t="s">
        <v>176</v>
      </c>
      <c r="B205" s="92"/>
      <c r="C205" s="190"/>
      <c r="D205" s="151"/>
      <c r="E205" s="190"/>
      <c r="F205" s="192"/>
      <c r="G205" s="87"/>
    </row>
    <row r="206" spans="1:8" ht="21" customHeight="1" thickBot="1">
      <c r="A206" s="227" t="s">
        <v>5</v>
      </c>
      <c r="B206" s="228" t="s">
        <v>5</v>
      </c>
      <c r="C206" s="190">
        <v>0</v>
      </c>
      <c r="D206" s="151" t="s">
        <v>5</v>
      </c>
      <c r="E206" s="190">
        <f>+C206</f>
        <v>0</v>
      </c>
      <c r="F206" s="194">
        <f>+E206</f>
        <v>0</v>
      </c>
      <c r="G206" s="87"/>
      <c r="H206" s="140"/>
    </row>
    <row r="207" spans="1:8" s="79" customFormat="1" ht="21" customHeight="1" thickBot="1" thickTop="1">
      <c r="A207" s="515" t="s">
        <v>11</v>
      </c>
      <c r="B207" s="516"/>
      <c r="C207" s="199">
        <f>SUM(C8:C206)</f>
        <v>12104306.96</v>
      </c>
      <c r="D207" s="200"/>
      <c r="E207" s="201">
        <f>SUM(E8:E206)</f>
        <v>12104306.96</v>
      </c>
      <c r="F207" s="202"/>
      <c r="H207" s="108"/>
    </row>
    <row r="208" spans="1:6" ht="60" customHeight="1">
      <c r="A208" s="508" t="s">
        <v>177</v>
      </c>
      <c r="B208" s="508"/>
      <c r="C208" s="508"/>
      <c r="D208" s="508"/>
      <c r="E208" s="508"/>
      <c r="F208" s="508"/>
    </row>
    <row r="209" ht="21" customHeight="1">
      <c r="A209" s="96" t="s">
        <v>363</v>
      </c>
    </row>
    <row r="210" spans="2:3" ht="23.25">
      <c r="B210" s="86"/>
      <c r="C210" s="206"/>
    </row>
    <row r="211" spans="2:3" ht="23.25">
      <c r="B211" s="86"/>
      <c r="C211" s="206"/>
    </row>
    <row r="212" spans="2:3" ht="23.25">
      <c r="B212" s="86"/>
      <c r="C212" s="206"/>
    </row>
    <row r="213" spans="1:8" s="86" customFormat="1" ht="21">
      <c r="A213" s="94"/>
      <c r="C213" s="206"/>
      <c r="D213" s="207"/>
      <c r="E213" s="206"/>
      <c r="F213" s="208"/>
      <c r="H213" s="107"/>
    </row>
    <row r="214" spans="1:8" s="86" customFormat="1" ht="21">
      <c r="A214" s="94"/>
      <c r="C214" s="206"/>
      <c r="D214" s="207"/>
      <c r="E214" s="206"/>
      <c r="F214" s="208"/>
      <c r="H214" s="107"/>
    </row>
    <row r="215" spans="1:8" s="86" customFormat="1" ht="21">
      <c r="A215" s="94"/>
      <c r="C215" s="206"/>
      <c r="D215" s="207"/>
      <c r="E215" s="206"/>
      <c r="F215" s="208"/>
      <c r="H215" s="107"/>
    </row>
    <row r="216" spans="1:8" s="86" customFormat="1" ht="21">
      <c r="A216" s="94"/>
      <c r="C216" s="206"/>
      <c r="D216" s="207"/>
      <c r="E216" s="206"/>
      <c r="F216" s="208"/>
      <c r="H216" s="107"/>
    </row>
    <row r="217" spans="1:8" s="86" customFormat="1" ht="21">
      <c r="A217" s="94"/>
      <c r="C217" s="206"/>
      <c r="D217" s="207"/>
      <c r="E217" s="206"/>
      <c r="F217" s="208"/>
      <c r="H217" s="107"/>
    </row>
    <row r="218" spans="1:8" s="86" customFormat="1" ht="21">
      <c r="A218" s="94"/>
      <c r="C218" s="206"/>
      <c r="D218" s="207"/>
      <c r="E218" s="206"/>
      <c r="F218" s="208"/>
      <c r="H218" s="107"/>
    </row>
    <row r="219" spans="1:8" s="86" customFormat="1" ht="21">
      <c r="A219" s="94"/>
      <c r="C219" s="206"/>
      <c r="D219" s="207"/>
      <c r="E219" s="206"/>
      <c r="F219" s="208"/>
      <c r="H219" s="107"/>
    </row>
    <row r="220" spans="1:8" s="86" customFormat="1" ht="21">
      <c r="A220" s="94"/>
      <c r="C220" s="206"/>
      <c r="D220" s="207"/>
      <c r="E220" s="206"/>
      <c r="F220" s="208"/>
      <c r="H220" s="107"/>
    </row>
    <row r="221" spans="1:8" s="86" customFormat="1" ht="21">
      <c r="A221" s="94"/>
      <c r="C221" s="206"/>
      <c r="D221" s="207"/>
      <c r="E221" s="206"/>
      <c r="F221" s="208"/>
      <c r="H221" s="107"/>
    </row>
    <row r="222" spans="1:8" s="86" customFormat="1" ht="21">
      <c r="A222" s="94"/>
      <c r="C222" s="206"/>
      <c r="D222" s="207"/>
      <c r="E222" s="206"/>
      <c r="F222" s="208"/>
      <c r="H222" s="107"/>
    </row>
    <row r="223" spans="1:8" s="86" customFormat="1" ht="21">
      <c r="A223" s="94"/>
      <c r="C223" s="206"/>
      <c r="D223" s="207"/>
      <c r="E223" s="206"/>
      <c r="F223" s="208"/>
      <c r="H223" s="107"/>
    </row>
    <row r="224" spans="1:8" s="86" customFormat="1" ht="21">
      <c r="A224" s="94"/>
      <c r="C224" s="206"/>
      <c r="D224" s="207"/>
      <c r="E224" s="206"/>
      <c r="F224" s="208"/>
      <c r="H224" s="107"/>
    </row>
    <row r="225" spans="1:8" s="86" customFormat="1" ht="21">
      <c r="A225" s="94"/>
      <c r="C225" s="206"/>
      <c r="D225" s="207"/>
      <c r="E225" s="206"/>
      <c r="F225" s="208"/>
      <c r="H225" s="107"/>
    </row>
    <row r="226" spans="1:8" s="86" customFormat="1" ht="21">
      <c r="A226" s="94"/>
      <c r="C226" s="206"/>
      <c r="D226" s="207"/>
      <c r="E226" s="206"/>
      <c r="F226" s="208"/>
      <c r="H226" s="107"/>
    </row>
    <row r="227" spans="1:8" s="86" customFormat="1" ht="21">
      <c r="A227" s="94"/>
      <c r="C227" s="206"/>
      <c r="D227" s="207"/>
      <c r="E227" s="206"/>
      <c r="F227" s="208"/>
      <c r="H227" s="107"/>
    </row>
    <row r="228" spans="1:8" s="86" customFormat="1" ht="21">
      <c r="A228" s="94"/>
      <c r="C228" s="206"/>
      <c r="D228" s="207"/>
      <c r="E228" s="206"/>
      <c r="F228" s="208"/>
      <c r="H228" s="107"/>
    </row>
    <row r="229" spans="1:8" s="86" customFormat="1" ht="21">
      <c r="A229" s="94"/>
      <c r="C229" s="206"/>
      <c r="D229" s="207"/>
      <c r="E229" s="206"/>
      <c r="F229" s="208"/>
      <c r="H229" s="107"/>
    </row>
    <row r="230" spans="1:8" s="86" customFormat="1" ht="21">
      <c r="A230" s="94"/>
      <c r="C230" s="206"/>
      <c r="D230" s="207"/>
      <c r="E230" s="206"/>
      <c r="F230" s="208"/>
      <c r="H230" s="107"/>
    </row>
    <row r="231" spans="1:8" s="86" customFormat="1" ht="21">
      <c r="A231" s="94"/>
      <c r="C231" s="206"/>
      <c r="D231" s="207"/>
      <c r="E231" s="206"/>
      <c r="F231" s="208"/>
      <c r="H231" s="107"/>
    </row>
    <row r="232" spans="1:8" s="86" customFormat="1" ht="21">
      <c r="A232" s="94"/>
      <c r="C232" s="206"/>
      <c r="D232" s="207"/>
      <c r="E232" s="206"/>
      <c r="F232" s="208"/>
      <c r="H232" s="107"/>
    </row>
    <row r="233" spans="1:8" s="86" customFormat="1" ht="21">
      <c r="A233" s="94"/>
      <c r="C233" s="206"/>
      <c r="D233" s="207"/>
      <c r="E233" s="206"/>
      <c r="F233" s="208"/>
      <c r="H233" s="107"/>
    </row>
    <row r="234" ht="21">
      <c r="A234" s="94"/>
    </row>
    <row r="235" ht="21">
      <c r="A235" s="94"/>
    </row>
    <row r="236" ht="21">
      <c r="A236" s="94"/>
    </row>
    <row r="237" ht="21">
      <c r="A237" s="94"/>
    </row>
    <row r="238" ht="21">
      <c r="A238" s="94"/>
    </row>
    <row r="239" ht="21">
      <c r="A239" s="94"/>
    </row>
    <row r="240" ht="21">
      <c r="A240" s="94"/>
    </row>
    <row r="241" ht="21">
      <c r="A241" s="94"/>
    </row>
    <row r="242" ht="21">
      <c r="A242" s="94"/>
    </row>
    <row r="243" ht="21">
      <c r="A243" s="94"/>
    </row>
    <row r="244" ht="21">
      <c r="A244" s="94"/>
    </row>
    <row r="245" ht="21">
      <c r="A245" s="94"/>
    </row>
    <row r="246" ht="21">
      <c r="A246" s="94"/>
    </row>
    <row r="247" ht="21">
      <c r="A247" s="94"/>
    </row>
    <row r="248" ht="21">
      <c r="A248" s="94"/>
    </row>
    <row r="249" ht="21">
      <c r="A249" s="94"/>
    </row>
    <row r="250" ht="21">
      <c r="A250" s="94"/>
    </row>
    <row r="251" ht="21">
      <c r="A251" s="94"/>
    </row>
    <row r="252" ht="21">
      <c r="A252" s="94"/>
    </row>
    <row r="253" ht="21">
      <c r="A253" s="94"/>
    </row>
    <row r="254" ht="21">
      <c r="A254" s="94"/>
    </row>
    <row r="255" ht="21">
      <c r="A255" s="94"/>
    </row>
    <row r="256" ht="21">
      <c r="A256" s="94"/>
    </row>
    <row r="257" ht="21">
      <c r="A257" s="94"/>
    </row>
    <row r="258" ht="21">
      <c r="A258" s="94"/>
    </row>
    <row r="259" ht="21">
      <c r="A259" s="94"/>
    </row>
    <row r="260" ht="21">
      <c r="A260" s="94"/>
    </row>
    <row r="261" ht="21">
      <c r="A261" s="94"/>
    </row>
    <row r="262" ht="21">
      <c r="A262" s="94"/>
    </row>
    <row r="263" ht="21">
      <c r="A263" s="94"/>
    </row>
    <row r="264" ht="21">
      <c r="A264" s="94"/>
    </row>
    <row r="265" ht="21">
      <c r="A265" s="94"/>
    </row>
    <row r="266" ht="21">
      <c r="A266" s="94"/>
    </row>
    <row r="267" ht="21">
      <c r="A267" s="94"/>
    </row>
    <row r="268" ht="21">
      <c r="A268" s="94"/>
    </row>
    <row r="269" ht="21">
      <c r="A269" s="94"/>
    </row>
    <row r="270" ht="21">
      <c r="A270" s="94"/>
    </row>
    <row r="271" ht="21">
      <c r="A271" s="94"/>
    </row>
    <row r="272" ht="21">
      <c r="A272" s="94"/>
    </row>
    <row r="273" ht="21">
      <c r="A273" s="94"/>
    </row>
    <row r="274" ht="21">
      <c r="A274" s="94"/>
    </row>
    <row r="275" ht="21">
      <c r="A275" s="94"/>
    </row>
    <row r="276" ht="21">
      <c r="A276" s="94"/>
    </row>
    <row r="277" ht="21">
      <c r="A277" s="94"/>
    </row>
    <row r="278" ht="21">
      <c r="A278" s="94"/>
    </row>
    <row r="279" ht="21">
      <c r="A279" s="94"/>
    </row>
    <row r="280" ht="21">
      <c r="A280" s="94"/>
    </row>
    <row r="281" ht="21">
      <c r="A281" s="94"/>
    </row>
    <row r="282" ht="21">
      <c r="A282" s="94"/>
    </row>
    <row r="283" ht="21">
      <c r="A283" s="94"/>
    </row>
    <row r="284" ht="21">
      <c r="A284" s="94"/>
    </row>
    <row r="285" ht="21">
      <c r="A285" s="94"/>
    </row>
    <row r="286" ht="21">
      <c r="A286" s="94"/>
    </row>
    <row r="287" ht="21">
      <c r="A287" s="94"/>
    </row>
    <row r="288" ht="21">
      <c r="A288" s="94"/>
    </row>
    <row r="289" ht="21">
      <c r="A289" s="94"/>
    </row>
    <row r="290" ht="21">
      <c r="A290" s="94"/>
    </row>
    <row r="291" ht="21">
      <c r="A291" s="94"/>
    </row>
    <row r="292" ht="21">
      <c r="A292" s="94"/>
    </row>
    <row r="293" ht="21">
      <c r="A293" s="94"/>
    </row>
    <row r="294" ht="21">
      <c r="A294" s="94"/>
    </row>
    <row r="295" ht="21">
      <c r="A295" s="94"/>
    </row>
    <row r="296" ht="21">
      <c r="A296" s="94"/>
    </row>
    <row r="297" ht="21">
      <c r="A297" s="94"/>
    </row>
    <row r="298" ht="21">
      <c r="A298" s="94"/>
    </row>
    <row r="299" ht="21">
      <c r="A299" s="94"/>
    </row>
    <row r="300" ht="21">
      <c r="A300" s="94"/>
    </row>
    <row r="301" ht="21">
      <c r="A301" s="94"/>
    </row>
    <row r="302" ht="21">
      <c r="A302" s="94"/>
    </row>
    <row r="303" ht="21">
      <c r="A303" s="94"/>
    </row>
    <row r="304" ht="21">
      <c r="A304" s="94"/>
    </row>
    <row r="305" ht="21">
      <c r="A305" s="94"/>
    </row>
    <row r="306" ht="21">
      <c r="A306" s="94"/>
    </row>
    <row r="307" ht="21">
      <c r="A307" s="94"/>
    </row>
    <row r="308" ht="21">
      <c r="A308" s="94"/>
    </row>
    <row r="309" ht="21">
      <c r="A309" s="94"/>
    </row>
    <row r="310" ht="21">
      <c r="A310" s="94"/>
    </row>
    <row r="311" ht="21">
      <c r="A311" s="94"/>
    </row>
    <row r="312" ht="21">
      <c r="A312" s="94"/>
    </row>
    <row r="313" ht="21">
      <c r="A313" s="94"/>
    </row>
    <row r="314" ht="21">
      <c r="A314" s="94"/>
    </row>
    <row r="315" ht="21">
      <c r="A315" s="94"/>
    </row>
    <row r="316" ht="21">
      <c r="A316" s="94"/>
    </row>
    <row r="317" ht="21">
      <c r="A317" s="94"/>
    </row>
    <row r="318" ht="21">
      <c r="A318" s="94"/>
    </row>
    <row r="319" ht="21">
      <c r="A319" s="94"/>
    </row>
    <row r="320" ht="21">
      <c r="A320" s="94"/>
    </row>
    <row r="321" ht="21">
      <c r="A321" s="94"/>
    </row>
    <row r="322" ht="21">
      <c r="A322" s="94"/>
    </row>
    <row r="323" ht="21">
      <c r="A323" s="94"/>
    </row>
    <row r="324" ht="21">
      <c r="A324" s="94"/>
    </row>
    <row r="325" ht="21">
      <c r="A325" s="94"/>
    </row>
    <row r="326" ht="21">
      <c r="A326" s="94"/>
    </row>
    <row r="327" ht="21">
      <c r="A327" s="94"/>
    </row>
    <row r="328" ht="21">
      <c r="A328" s="94"/>
    </row>
    <row r="329" ht="21">
      <c r="A329" s="94"/>
    </row>
    <row r="330" ht="21">
      <c r="A330" s="94"/>
    </row>
    <row r="331" ht="21">
      <c r="A331" s="94"/>
    </row>
    <row r="332" ht="21">
      <c r="A332" s="94"/>
    </row>
    <row r="333" ht="21">
      <c r="A333" s="94"/>
    </row>
    <row r="334" ht="21">
      <c r="A334" s="94"/>
    </row>
    <row r="335" ht="21">
      <c r="A335" s="94"/>
    </row>
    <row r="336" ht="21">
      <c r="A336" s="94"/>
    </row>
    <row r="337" ht="21">
      <c r="A337" s="94"/>
    </row>
    <row r="338" ht="21">
      <c r="A338" s="94"/>
    </row>
    <row r="339" ht="21">
      <c r="A339" s="94"/>
    </row>
    <row r="340" ht="21">
      <c r="A340" s="94"/>
    </row>
    <row r="341" ht="21">
      <c r="A341" s="94"/>
    </row>
    <row r="342" ht="21">
      <c r="A342" s="94"/>
    </row>
    <row r="343" ht="21">
      <c r="A343" s="94"/>
    </row>
    <row r="344" ht="21">
      <c r="A344" s="94"/>
    </row>
    <row r="345" ht="21">
      <c r="A345" s="94"/>
    </row>
    <row r="346" ht="21">
      <c r="A346" s="94"/>
    </row>
    <row r="347" ht="21">
      <c r="A347" s="94"/>
    </row>
    <row r="348" ht="21">
      <c r="A348" s="94"/>
    </row>
    <row r="349" ht="21">
      <c r="A349" s="94"/>
    </row>
    <row r="350" ht="21">
      <c r="A350" s="94"/>
    </row>
    <row r="351" ht="21">
      <c r="A351" s="94"/>
    </row>
    <row r="352" ht="21">
      <c r="A352" s="94"/>
    </row>
    <row r="353" ht="21">
      <c r="A353" s="94"/>
    </row>
    <row r="354" ht="21">
      <c r="A354" s="94"/>
    </row>
    <row r="355" ht="21">
      <c r="A355" s="94"/>
    </row>
    <row r="356" ht="21">
      <c r="A356" s="94"/>
    </row>
    <row r="357" ht="21">
      <c r="A357" s="94"/>
    </row>
    <row r="358" ht="21">
      <c r="A358" s="94"/>
    </row>
    <row r="359" ht="21">
      <c r="A359" s="94"/>
    </row>
    <row r="360" ht="21">
      <c r="A360" s="94"/>
    </row>
    <row r="361" ht="21">
      <c r="A361" s="94"/>
    </row>
    <row r="362" ht="21">
      <c r="A362" s="94"/>
    </row>
    <row r="363" ht="21">
      <c r="A363" s="94"/>
    </row>
    <row r="364" ht="21">
      <c r="A364" s="94"/>
    </row>
    <row r="365" ht="21">
      <c r="A365" s="94"/>
    </row>
    <row r="366" ht="21">
      <c r="A366" s="94"/>
    </row>
    <row r="367" ht="21">
      <c r="A367" s="94"/>
    </row>
    <row r="368" ht="21">
      <c r="A368" s="94"/>
    </row>
    <row r="369" ht="21">
      <c r="A369" s="94"/>
    </row>
    <row r="370" ht="21">
      <c r="A370" s="94"/>
    </row>
    <row r="371" ht="21">
      <c r="A371" s="94"/>
    </row>
    <row r="372" ht="21">
      <c r="A372" s="94"/>
    </row>
    <row r="373" ht="21">
      <c r="A373" s="94"/>
    </row>
    <row r="374" ht="21">
      <c r="A374" s="94"/>
    </row>
    <row r="375" ht="21">
      <c r="A375" s="94"/>
    </row>
    <row r="376" ht="21">
      <c r="A376" s="94"/>
    </row>
    <row r="377" ht="21">
      <c r="A377" s="94"/>
    </row>
    <row r="378" ht="21">
      <c r="A378" s="94"/>
    </row>
    <row r="379" ht="21">
      <c r="A379" s="94"/>
    </row>
    <row r="380" ht="21">
      <c r="A380" s="94"/>
    </row>
    <row r="381" ht="21">
      <c r="A381" s="94"/>
    </row>
    <row r="382" ht="21">
      <c r="A382" s="94"/>
    </row>
    <row r="383" ht="21">
      <c r="A383" s="94"/>
    </row>
    <row r="384" ht="21">
      <c r="A384" s="94"/>
    </row>
    <row r="385" ht="21">
      <c r="A385" s="94"/>
    </row>
    <row r="386" ht="21">
      <c r="A386" s="94"/>
    </row>
    <row r="387" ht="21">
      <c r="A387" s="94"/>
    </row>
    <row r="388" ht="21">
      <c r="A388" s="94"/>
    </row>
    <row r="389" ht="21">
      <c r="A389" s="94"/>
    </row>
    <row r="390" ht="21">
      <c r="A390" s="94"/>
    </row>
    <row r="391" ht="21">
      <c r="A391" s="94"/>
    </row>
    <row r="392" ht="21">
      <c r="A392" s="94"/>
    </row>
    <row r="393" ht="21">
      <c r="A393" s="94"/>
    </row>
    <row r="394" ht="21">
      <c r="A394" s="94"/>
    </row>
    <row r="395" ht="21">
      <c r="A395" s="94"/>
    </row>
    <row r="396" ht="21">
      <c r="A396" s="94"/>
    </row>
    <row r="397" ht="21">
      <c r="A397" s="94"/>
    </row>
    <row r="398" ht="21">
      <c r="A398" s="94"/>
    </row>
    <row r="399" ht="21">
      <c r="A399" s="94"/>
    </row>
    <row r="400" ht="21">
      <c r="A400" s="94"/>
    </row>
    <row r="401" ht="21">
      <c r="A401" s="94"/>
    </row>
    <row r="402" ht="21">
      <c r="A402" s="94"/>
    </row>
    <row r="403" ht="21">
      <c r="A403" s="94"/>
    </row>
    <row r="404" ht="21">
      <c r="A404" s="94"/>
    </row>
    <row r="405" ht="21">
      <c r="A405" s="94"/>
    </row>
    <row r="406" ht="21">
      <c r="A406" s="94"/>
    </row>
    <row r="407" ht="21">
      <c r="A407" s="94"/>
    </row>
    <row r="408" ht="21">
      <c r="A408" s="94"/>
    </row>
    <row r="409" ht="21">
      <c r="A409" s="94"/>
    </row>
    <row r="410" ht="21">
      <c r="A410" s="94"/>
    </row>
    <row r="411" ht="21">
      <c r="A411" s="94"/>
    </row>
    <row r="412" ht="21">
      <c r="A412" s="94"/>
    </row>
    <row r="413" ht="21">
      <c r="A413" s="94"/>
    </row>
    <row r="414" ht="21">
      <c r="A414" s="94"/>
    </row>
    <row r="415" ht="21">
      <c r="A415" s="94"/>
    </row>
    <row r="416" ht="21">
      <c r="A416" s="94"/>
    </row>
    <row r="417" ht="21">
      <c r="A417" s="94"/>
    </row>
    <row r="418" ht="21">
      <c r="A418" s="94"/>
    </row>
    <row r="419" ht="21">
      <c r="A419" s="94"/>
    </row>
    <row r="420" ht="21">
      <c r="A420" s="94"/>
    </row>
    <row r="421" ht="21">
      <c r="A421" s="94"/>
    </row>
    <row r="422" ht="21">
      <c r="A422" s="94"/>
    </row>
    <row r="423" ht="21">
      <c r="A423" s="94"/>
    </row>
    <row r="424" ht="21">
      <c r="A424" s="94"/>
    </row>
    <row r="425" ht="21">
      <c r="A425" s="94"/>
    </row>
    <row r="426" ht="21">
      <c r="A426" s="94"/>
    </row>
    <row r="427" ht="21">
      <c r="A427" s="94"/>
    </row>
    <row r="428" ht="21">
      <c r="A428" s="94"/>
    </row>
    <row r="429" ht="21">
      <c r="A429" s="94"/>
    </row>
    <row r="430" ht="21">
      <c r="A430" s="94"/>
    </row>
    <row r="431" ht="21">
      <c r="A431" s="94"/>
    </row>
    <row r="432" ht="21">
      <c r="A432" s="94"/>
    </row>
    <row r="433" ht="21">
      <c r="A433" s="94"/>
    </row>
    <row r="434" ht="21">
      <c r="A434" s="94"/>
    </row>
    <row r="435" ht="21">
      <c r="A435" s="94"/>
    </row>
    <row r="436" ht="21">
      <c r="A436" s="94"/>
    </row>
    <row r="437" ht="21">
      <c r="A437" s="94"/>
    </row>
    <row r="438" ht="21">
      <c r="A438" s="94"/>
    </row>
    <row r="439" ht="21">
      <c r="A439" s="94"/>
    </row>
    <row r="440" ht="21">
      <c r="A440" s="94"/>
    </row>
    <row r="441" ht="21">
      <c r="A441" s="94"/>
    </row>
    <row r="442" ht="21">
      <c r="A442" s="94"/>
    </row>
    <row r="443" ht="21">
      <c r="A443" s="94"/>
    </row>
    <row r="444" ht="21">
      <c r="A444" s="94"/>
    </row>
    <row r="445" ht="21">
      <c r="A445" s="94"/>
    </row>
    <row r="446" ht="21">
      <c r="A446" s="94"/>
    </row>
    <row r="447" ht="21">
      <c r="A447" s="94"/>
    </row>
    <row r="448" ht="21">
      <c r="A448" s="94"/>
    </row>
    <row r="449" ht="21">
      <c r="A449" s="94"/>
    </row>
    <row r="450" ht="21">
      <c r="A450" s="94"/>
    </row>
    <row r="451" ht="21">
      <c r="A451" s="94"/>
    </row>
    <row r="452" ht="21">
      <c r="A452" s="94"/>
    </row>
    <row r="453" ht="21">
      <c r="A453" s="94"/>
    </row>
    <row r="454" ht="21">
      <c r="A454" s="94"/>
    </row>
    <row r="455" ht="21">
      <c r="A455" s="94"/>
    </row>
    <row r="456" ht="21">
      <c r="A456" s="94"/>
    </row>
    <row r="457" ht="21">
      <c r="A457" s="94"/>
    </row>
    <row r="458" ht="21">
      <c r="A458" s="94"/>
    </row>
    <row r="459" ht="21">
      <c r="A459" s="94"/>
    </row>
    <row r="460" ht="21">
      <c r="A460" s="94"/>
    </row>
    <row r="461" ht="21">
      <c r="A461" s="94"/>
    </row>
    <row r="462" ht="21">
      <c r="A462" s="94"/>
    </row>
    <row r="463" ht="21">
      <c r="A463" s="94"/>
    </row>
    <row r="464" ht="21">
      <c r="A464" s="94"/>
    </row>
    <row r="465" ht="21">
      <c r="A465" s="94"/>
    </row>
    <row r="466" ht="21">
      <c r="A466" s="94"/>
    </row>
    <row r="467" ht="21">
      <c r="A467" s="94"/>
    </row>
    <row r="468" ht="21">
      <c r="A468" s="94"/>
    </row>
    <row r="469" ht="21">
      <c r="A469" s="94"/>
    </row>
    <row r="470" ht="21">
      <c r="A470" s="94"/>
    </row>
    <row r="471" ht="21">
      <c r="A471" s="94"/>
    </row>
    <row r="472" ht="21">
      <c r="A472" s="94"/>
    </row>
    <row r="473" ht="21">
      <c r="A473" s="94"/>
    </row>
    <row r="474" ht="21">
      <c r="A474" s="94"/>
    </row>
    <row r="475" ht="21">
      <c r="A475" s="94"/>
    </row>
    <row r="476" ht="21">
      <c r="A476" s="94"/>
    </row>
    <row r="477" ht="21">
      <c r="A477" s="94"/>
    </row>
    <row r="478" ht="21">
      <c r="A478" s="94"/>
    </row>
    <row r="479" ht="21">
      <c r="A479" s="94"/>
    </row>
    <row r="480" ht="21">
      <c r="A480" s="94"/>
    </row>
    <row r="481" ht="21">
      <c r="A481" s="94"/>
    </row>
    <row r="482" ht="21">
      <c r="A482" s="94"/>
    </row>
    <row r="483" ht="21">
      <c r="A483" s="94"/>
    </row>
    <row r="484" ht="21">
      <c r="A484" s="94"/>
    </row>
    <row r="485" ht="21">
      <c r="A485" s="94"/>
    </row>
    <row r="486" ht="21">
      <c r="A486" s="94"/>
    </row>
    <row r="487" ht="21">
      <c r="A487" s="94"/>
    </row>
    <row r="488" ht="21">
      <c r="A488" s="94"/>
    </row>
    <row r="489" ht="21">
      <c r="A489" s="94"/>
    </row>
    <row r="490" ht="21">
      <c r="A490" s="94"/>
    </row>
    <row r="491" ht="21">
      <c r="A491" s="94"/>
    </row>
    <row r="492" ht="21">
      <c r="A492" s="94"/>
    </row>
    <row r="493" ht="21">
      <c r="A493" s="94"/>
    </row>
    <row r="494" ht="21">
      <c r="A494" s="94"/>
    </row>
    <row r="495" ht="21">
      <c r="A495" s="94"/>
    </row>
    <row r="496" ht="21">
      <c r="A496" s="94"/>
    </row>
    <row r="497" ht="21">
      <c r="A497" s="94"/>
    </row>
    <row r="498" ht="21">
      <c r="A498" s="94"/>
    </row>
    <row r="499" ht="21">
      <c r="A499" s="94"/>
    </row>
    <row r="500" ht="21">
      <c r="A500" s="94"/>
    </row>
    <row r="501" ht="21">
      <c r="A501" s="94"/>
    </row>
    <row r="502" ht="21">
      <c r="A502" s="94"/>
    </row>
    <row r="503" ht="21">
      <c r="A503" s="94"/>
    </row>
    <row r="504" ht="21">
      <c r="A504" s="94"/>
    </row>
    <row r="505" ht="21">
      <c r="A505" s="94"/>
    </row>
    <row r="506" ht="21">
      <c r="A506" s="94"/>
    </row>
    <row r="507" ht="21">
      <c r="A507" s="94"/>
    </row>
    <row r="508" ht="21">
      <c r="A508" s="94"/>
    </row>
    <row r="509" ht="21">
      <c r="A509" s="94"/>
    </row>
    <row r="510" ht="21">
      <c r="A510" s="94"/>
    </row>
    <row r="511" ht="21">
      <c r="A511" s="94"/>
    </row>
    <row r="512" ht="21">
      <c r="A512" s="94"/>
    </row>
    <row r="513" ht="21">
      <c r="A513" s="94"/>
    </row>
    <row r="514" ht="21">
      <c r="A514" s="94"/>
    </row>
    <row r="515" ht="21">
      <c r="A515" s="94"/>
    </row>
    <row r="516" ht="21">
      <c r="A516" s="94"/>
    </row>
    <row r="517" ht="21">
      <c r="A517" s="94"/>
    </row>
    <row r="518" ht="21">
      <c r="A518" s="94"/>
    </row>
    <row r="519" ht="21">
      <c r="A519" s="94"/>
    </row>
    <row r="520" ht="21">
      <c r="A520" s="94"/>
    </row>
    <row r="521" ht="21">
      <c r="A521" s="94"/>
    </row>
    <row r="522" ht="21">
      <c r="A522" s="94"/>
    </row>
  </sheetData>
  <mergeCells count="9">
    <mergeCell ref="A208:F208"/>
    <mergeCell ref="A6:B6"/>
    <mergeCell ref="A38:B38"/>
    <mergeCell ref="D5:E5"/>
    <mergeCell ref="A207:B207"/>
    <mergeCell ref="A3:F3"/>
    <mergeCell ref="A1:F1"/>
    <mergeCell ref="A2:F2"/>
    <mergeCell ref="A5:B5"/>
  </mergeCells>
  <printOptions/>
  <pageMargins left="0.7" right="0.35433070866141736" top="0.35433070866141736" bottom="0.2755905511811024" header="0.2362204724409449" footer="0.2362204724409449"/>
  <pageSetup horizontalDpi="600" verticalDpi="600" orientation="landscape" paperSize="9" scale="95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">
      <selection activeCell="D18" sqref="D18"/>
    </sheetView>
  </sheetViews>
  <sheetFormatPr defaultColWidth="9.140625" defaultRowHeight="24" customHeight="1"/>
  <cols>
    <col min="1" max="1" width="45.57421875" style="4" customWidth="1"/>
    <col min="2" max="2" width="12.7109375" style="5" customWidth="1"/>
    <col min="3" max="3" width="13.140625" style="5" customWidth="1"/>
    <col min="4" max="5" width="12.7109375" style="5" customWidth="1"/>
    <col min="6" max="6" width="8.28125" style="4" customWidth="1"/>
    <col min="7" max="16384" width="9.140625" style="4" customWidth="1"/>
  </cols>
  <sheetData>
    <row r="1" ht="24" customHeight="1">
      <c r="F1" s="124" t="s">
        <v>434</v>
      </c>
    </row>
    <row r="2" spans="1:6" ht="24" customHeight="1">
      <c r="A2" s="503" t="s">
        <v>537</v>
      </c>
      <c r="B2" s="503"/>
      <c r="C2" s="503"/>
      <c r="D2" s="503"/>
      <c r="E2" s="503"/>
      <c r="F2" s="503"/>
    </row>
    <row r="3" spans="1:6" ht="24" customHeight="1">
      <c r="A3" s="503" t="s">
        <v>115</v>
      </c>
      <c r="B3" s="503"/>
      <c r="C3" s="503"/>
      <c r="D3" s="503"/>
      <c r="E3" s="503"/>
      <c r="F3" s="503"/>
    </row>
    <row r="4" spans="1:6" ht="24" customHeight="1">
      <c r="A4" s="517" t="s">
        <v>567</v>
      </c>
      <c r="B4" s="517"/>
      <c r="C4" s="517"/>
      <c r="D4" s="517"/>
      <c r="E4" s="517"/>
      <c r="F4" s="517"/>
    </row>
    <row r="5" spans="1:6" s="97" customFormat="1" ht="24" customHeight="1">
      <c r="A5" s="157" t="s">
        <v>116</v>
      </c>
      <c r="B5" s="518" t="s">
        <v>117</v>
      </c>
      <c r="C5" s="519"/>
      <c r="D5" s="268" t="s">
        <v>120</v>
      </c>
      <c r="E5" s="268" t="s">
        <v>121</v>
      </c>
      <c r="F5" s="157" t="s">
        <v>122</v>
      </c>
    </row>
    <row r="6" spans="1:6" s="97" customFormat="1" ht="24" customHeight="1">
      <c r="A6" s="75"/>
      <c r="B6" s="254" t="s">
        <v>118</v>
      </c>
      <c r="C6" s="254" t="s">
        <v>119</v>
      </c>
      <c r="D6" s="269"/>
      <c r="E6" s="269"/>
      <c r="F6" s="75"/>
    </row>
    <row r="7" spans="1:6" s="3" customFormat="1" ht="24" customHeight="1">
      <c r="A7" s="138" t="s">
        <v>564</v>
      </c>
      <c r="B7" s="146"/>
      <c r="C7" s="147"/>
      <c r="D7" s="76"/>
      <c r="E7" s="76"/>
      <c r="F7" s="270"/>
    </row>
    <row r="8" spans="1:6" s="3" customFormat="1" ht="24" customHeight="1">
      <c r="A8" s="307" t="s">
        <v>565</v>
      </c>
      <c r="B8" s="146">
        <v>3000</v>
      </c>
      <c r="C8" s="147">
        <v>0</v>
      </c>
      <c r="D8" s="76"/>
      <c r="E8" s="76">
        <f>B8-C8-D8</f>
        <v>3000</v>
      </c>
      <c r="F8" s="60"/>
    </row>
    <row r="9" spans="1:6" s="3" customFormat="1" ht="24" customHeight="1">
      <c r="A9" s="138" t="s">
        <v>185</v>
      </c>
      <c r="B9" s="146"/>
      <c r="C9" s="147"/>
      <c r="D9" s="76"/>
      <c r="E9" s="76"/>
      <c r="F9" s="270"/>
    </row>
    <row r="10" spans="1:6" s="3" customFormat="1" ht="24" customHeight="1">
      <c r="A10" s="307" t="s">
        <v>562</v>
      </c>
      <c r="B10" s="146">
        <v>47100.96</v>
      </c>
      <c r="C10" s="147">
        <v>0</v>
      </c>
      <c r="D10" s="76"/>
      <c r="E10" s="76">
        <f>B10-C10-D10</f>
        <v>47100.96</v>
      </c>
      <c r="F10" s="60"/>
    </row>
    <row r="11" spans="1:6" s="3" customFormat="1" ht="24" customHeight="1">
      <c r="A11" s="307" t="s">
        <v>563</v>
      </c>
      <c r="B11" s="146">
        <v>9760.8</v>
      </c>
      <c r="C11" s="147">
        <v>0</v>
      </c>
      <c r="D11" s="76">
        <v>0</v>
      </c>
      <c r="E11" s="76">
        <f>B11-C11-D11</f>
        <v>9760.8</v>
      </c>
      <c r="F11" s="60"/>
    </row>
    <row r="12" spans="1:6" s="275" customFormat="1" ht="24" customHeight="1">
      <c r="A12" s="309"/>
      <c r="B12" s="308"/>
      <c r="C12" s="308"/>
      <c r="D12" s="308"/>
      <c r="E12" s="308"/>
      <c r="F12" s="308"/>
    </row>
    <row r="13" spans="1:6" s="275" customFormat="1" ht="24" customHeight="1" thickBot="1">
      <c r="A13" s="310"/>
      <c r="B13" s="77">
        <f>SUM(B8:B12)</f>
        <v>59861.759999999995</v>
      </c>
      <c r="C13" s="77">
        <f>SUM(C9:C12)</f>
        <v>0</v>
      </c>
      <c r="D13" s="77">
        <f>SUM(D9:D12)</f>
        <v>0</v>
      </c>
      <c r="E13" s="77">
        <f>SUM(E8:E12)</f>
        <v>59861.759999999995</v>
      </c>
      <c r="F13" s="271"/>
    </row>
    <row r="14" spans="1:6" s="275" customFormat="1" ht="24" customHeight="1" thickTop="1">
      <c r="A14" s="272"/>
      <c r="B14" s="273"/>
      <c r="C14" s="273"/>
      <c r="D14" s="273"/>
      <c r="E14" s="273"/>
      <c r="F14" s="274"/>
    </row>
    <row r="15" spans="1:6" s="275" customFormat="1" ht="24" customHeight="1">
      <c r="A15" s="272"/>
      <c r="B15" s="273"/>
      <c r="C15" s="273"/>
      <c r="D15" s="273"/>
      <c r="E15" s="273"/>
      <c r="F15" s="274"/>
    </row>
    <row r="16" spans="1:6" s="275" customFormat="1" ht="24" customHeight="1">
      <c r="A16" s="272"/>
      <c r="B16" s="273"/>
      <c r="C16" s="273"/>
      <c r="D16" s="273"/>
      <c r="E16" s="273"/>
      <c r="F16" s="274"/>
    </row>
    <row r="17" spans="1:6" s="275" customFormat="1" ht="24" customHeight="1">
      <c r="A17" s="272"/>
      <c r="B17" s="273"/>
      <c r="C17" s="273"/>
      <c r="D17" s="273"/>
      <c r="E17" s="273"/>
      <c r="F17" s="274"/>
    </row>
    <row r="18" spans="1:6" s="275" customFormat="1" ht="24" customHeight="1">
      <c r="A18" s="272"/>
      <c r="B18" s="273"/>
      <c r="C18" s="273"/>
      <c r="D18" s="273"/>
      <c r="E18" s="273"/>
      <c r="F18" s="274"/>
    </row>
    <row r="19" spans="1:6" s="275" customFormat="1" ht="24" customHeight="1">
      <c r="A19" s="272"/>
      <c r="B19" s="273"/>
      <c r="C19" s="273"/>
      <c r="D19" s="273"/>
      <c r="E19" s="273"/>
      <c r="F19" s="274"/>
    </row>
    <row r="20" spans="1:6" s="275" customFormat="1" ht="24" customHeight="1">
      <c r="A20" s="272"/>
      <c r="B20" s="273"/>
      <c r="C20" s="273"/>
      <c r="D20" s="273"/>
      <c r="E20" s="273"/>
      <c r="F20" s="274"/>
    </row>
    <row r="21" spans="1:6" s="275" customFormat="1" ht="24" customHeight="1">
      <c r="A21" s="272"/>
      <c r="B21" s="273"/>
      <c r="C21" s="273"/>
      <c r="D21" s="273"/>
      <c r="E21" s="273"/>
      <c r="F21" s="274"/>
    </row>
    <row r="22" spans="1:6" s="275" customFormat="1" ht="24" customHeight="1">
      <c r="A22" s="272"/>
      <c r="B22" s="273"/>
      <c r="C22" s="273"/>
      <c r="D22" s="273"/>
      <c r="E22" s="273"/>
      <c r="F22" s="274"/>
    </row>
    <row r="23" spans="1:6" s="275" customFormat="1" ht="24" customHeight="1">
      <c r="A23" s="272"/>
      <c r="B23" s="273"/>
      <c r="C23" s="273"/>
      <c r="D23" s="273"/>
      <c r="E23" s="273"/>
      <c r="F23" s="274"/>
    </row>
    <row r="24" spans="1:6" s="275" customFormat="1" ht="24" customHeight="1">
      <c r="A24" s="272"/>
      <c r="B24" s="273"/>
      <c r="C24" s="273"/>
      <c r="D24" s="273"/>
      <c r="E24" s="273"/>
      <c r="F24" s="274"/>
    </row>
    <row r="25" spans="1:6" s="275" customFormat="1" ht="24" customHeight="1">
      <c r="A25" s="272"/>
      <c r="B25" s="273"/>
      <c r="C25" s="273"/>
      <c r="D25" s="273"/>
      <c r="E25" s="273"/>
      <c r="F25" s="274"/>
    </row>
    <row r="26" spans="1:6" s="275" customFormat="1" ht="24" customHeight="1">
      <c r="A26" s="272"/>
      <c r="B26" s="273"/>
      <c r="C26" s="273"/>
      <c r="D26" s="273"/>
      <c r="E26" s="273"/>
      <c r="F26" s="274"/>
    </row>
  </sheetData>
  <mergeCells count="4">
    <mergeCell ref="A2:F2"/>
    <mergeCell ref="A3:F3"/>
    <mergeCell ref="A4:F4"/>
    <mergeCell ref="B5:C5"/>
  </mergeCells>
  <printOptions/>
  <pageMargins left="0.42" right="0.29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35" sqref="C35"/>
    </sheetView>
  </sheetViews>
  <sheetFormatPr defaultColWidth="9.140625" defaultRowHeight="24" customHeight="1"/>
  <cols>
    <col min="1" max="1" width="34.28125" style="4" customWidth="1"/>
    <col min="2" max="2" width="12.7109375" style="5" customWidth="1"/>
    <col min="3" max="3" width="14.8515625" style="5" customWidth="1"/>
    <col min="4" max="5" width="12.7109375" style="5" customWidth="1"/>
    <col min="6" max="6" width="12.71093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ht="24" customHeight="1">
      <c r="F1" s="124" t="s">
        <v>434</v>
      </c>
    </row>
    <row r="2" spans="1:6" ht="24" customHeight="1">
      <c r="A2" s="503" t="s">
        <v>153</v>
      </c>
      <c r="B2" s="503"/>
      <c r="C2" s="503"/>
      <c r="D2" s="503"/>
      <c r="E2" s="503"/>
      <c r="F2" s="503"/>
    </row>
    <row r="3" spans="1:6" ht="24" customHeight="1">
      <c r="A3" s="503" t="s">
        <v>441</v>
      </c>
      <c r="B3" s="503"/>
      <c r="C3" s="503"/>
      <c r="D3" s="503"/>
      <c r="E3" s="503"/>
      <c r="F3" s="503"/>
    </row>
    <row r="4" spans="1:6" ht="24" customHeight="1">
      <c r="A4" s="517" t="s">
        <v>442</v>
      </c>
      <c r="B4" s="517"/>
      <c r="C4" s="517"/>
      <c r="D4" s="517"/>
      <c r="E4" s="517"/>
      <c r="F4" s="517"/>
    </row>
    <row r="5" spans="1:6" s="97" customFormat="1" ht="24" customHeight="1">
      <c r="A5" s="157" t="s">
        <v>21</v>
      </c>
      <c r="B5" s="277" t="s">
        <v>443</v>
      </c>
      <c r="C5" s="277" t="s">
        <v>444</v>
      </c>
      <c r="D5" s="268" t="s">
        <v>118</v>
      </c>
      <c r="E5" s="268" t="s">
        <v>120</v>
      </c>
      <c r="F5" s="157" t="s">
        <v>121</v>
      </c>
    </row>
    <row r="6" spans="1:6" s="97" customFormat="1" ht="24" customHeight="1">
      <c r="A6" s="75"/>
      <c r="B6" s="160" t="s">
        <v>445</v>
      </c>
      <c r="C6" s="160" t="s">
        <v>117</v>
      </c>
      <c r="D6" s="269" t="s">
        <v>117</v>
      </c>
      <c r="E6" s="269" t="s">
        <v>117</v>
      </c>
      <c r="F6" s="75" t="s">
        <v>117</v>
      </c>
    </row>
    <row r="7" spans="1:6" s="3" customFormat="1" ht="24" customHeight="1">
      <c r="A7" s="138" t="s">
        <v>184</v>
      </c>
      <c r="B7" s="76"/>
      <c r="C7" s="76"/>
      <c r="D7" s="76"/>
      <c r="E7" s="76"/>
      <c r="F7" s="60"/>
    </row>
    <row r="8" spans="1:6" s="3" customFormat="1" ht="24" customHeight="1">
      <c r="A8" s="61" t="s">
        <v>436</v>
      </c>
      <c r="B8" s="76">
        <v>0</v>
      </c>
      <c r="C8" s="76">
        <v>0</v>
      </c>
      <c r="D8" s="76">
        <v>0</v>
      </c>
      <c r="E8" s="7">
        <v>0</v>
      </c>
      <c r="F8" s="76">
        <f>+C8</f>
        <v>0</v>
      </c>
    </row>
    <row r="9" spans="1:6" s="3" customFormat="1" ht="24" customHeight="1">
      <c r="A9" s="61" t="s">
        <v>437</v>
      </c>
      <c r="B9" s="76">
        <v>0</v>
      </c>
      <c r="C9" s="76">
        <v>0</v>
      </c>
      <c r="D9" s="76">
        <v>0</v>
      </c>
      <c r="E9" s="7">
        <v>0</v>
      </c>
      <c r="F9" s="76">
        <f>+C9</f>
        <v>0</v>
      </c>
    </row>
    <row r="10" spans="1:6" s="3" customFormat="1" ht="24" customHeight="1">
      <c r="A10" s="61" t="s">
        <v>438</v>
      </c>
      <c r="B10" s="76">
        <v>0</v>
      </c>
      <c r="C10" s="76">
        <v>0</v>
      </c>
      <c r="D10" s="76">
        <v>0</v>
      </c>
      <c r="E10" s="7">
        <v>0</v>
      </c>
      <c r="F10" s="76">
        <f>+C10</f>
        <v>0</v>
      </c>
    </row>
    <row r="11" spans="1:6" s="3" customFormat="1" ht="24" customHeight="1">
      <c r="A11" s="138" t="s">
        <v>185</v>
      </c>
      <c r="B11" s="76"/>
      <c r="C11" s="76"/>
      <c r="D11" s="76"/>
      <c r="E11" s="7"/>
      <c r="F11" s="76"/>
    </row>
    <row r="12" spans="1:6" s="3" customFormat="1" ht="24" customHeight="1">
      <c r="A12" s="61" t="s">
        <v>439</v>
      </c>
      <c r="B12" s="76">
        <v>0</v>
      </c>
      <c r="C12" s="76">
        <v>0</v>
      </c>
      <c r="D12" s="76">
        <v>0</v>
      </c>
      <c r="E12" s="7">
        <v>0</v>
      </c>
      <c r="F12" s="76">
        <f>+D12-E12</f>
        <v>0</v>
      </c>
    </row>
    <row r="13" spans="1:6" s="3" customFormat="1" ht="24" customHeight="1">
      <c r="A13" s="61" t="s">
        <v>440</v>
      </c>
      <c r="B13" s="76">
        <v>0</v>
      </c>
      <c r="C13" s="76">
        <v>0</v>
      </c>
      <c r="D13" s="76">
        <v>0</v>
      </c>
      <c r="E13" s="7">
        <v>0</v>
      </c>
      <c r="F13" s="76">
        <f>+C13</f>
        <v>0</v>
      </c>
    </row>
    <row r="14" spans="1:6" s="3" customFormat="1" ht="24" customHeight="1">
      <c r="A14" s="61"/>
      <c r="B14" s="76"/>
      <c r="C14" s="76"/>
      <c r="D14" s="76"/>
      <c r="E14" s="76"/>
      <c r="F14" s="60"/>
    </row>
    <row r="15" spans="1:8" s="3" customFormat="1" ht="24" customHeight="1">
      <c r="A15" s="61"/>
      <c r="B15" s="76"/>
      <c r="C15" s="76"/>
      <c r="D15" s="76"/>
      <c r="E15" s="276"/>
      <c r="F15" s="270"/>
      <c r="H15" s="278"/>
    </row>
    <row r="16" spans="1:6" s="3" customFormat="1" ht="24" customHeight="1">
      <c r="A16" s="61"/>
      <c r="B16" s="76"/>
      <c r="C16" s="76"/>
      <c r="D16" s="76"/>
      <c r="E16" s="276"/>
      <c r="F16" s="270"/>
    </row>
    <row r="17" spans="1:6" s="3" customFormat="1" ht="24" customHeight="1">
      <c r="A17" s="61"/>
      <c r="B17" s="76"/>
      <c r="C17" s="76"/>
      <c r="D17" s="76"/>
      <c r="E17" s="276"/>
      <c r="F17" s="270"/>
    </row>
    <row r="18" spans="1:6" s="3" customFormat="1" ht="24" customHeight="1">
      <c r="A18" s="61"/>
      <c r="B18" s="76"/>
      <c r="C18" s="76"/>
      <c r="D18" s="76"/>
      <c r="E18" s="276"/>
      <c r="F18" s="270"/>
    </row>
    <row r="19" spans="1:6" s="3" customFormat="1" ht="24" customHeight="1">
      <c r="A19" s="61"/>
      <c r="B19" s="76"/>
      <c r="C19" s="76"/>
      <c r="D19" s="76"/>
      <c r="E19" s="276"/>
      <c r="F19" s="270"/>
    </row>
    <row r="20" spans="1:6" s="79" customFormat="1" ht="24" customHeight="1" thickBot="1">
      <c r="A20" s="279" t="s">
        <v>11</v>
      </c>
      <c r="B20" s="77">
        <f>SUM(B7:B19)</f>
        <v>0</v>
      </c>
      <c r="C20" s="77">
        <f>SUM(C7:C19)</f>
        <v>0</v>
      </c>
      <c r="D20" s="77">
        <f>SUM(D7:D19)</f>
        <v>0</v>
      </c>
      <c r="E20" s="78">
        <f>SUM(E7:E19)</f>
        <v>0</v>
      </c>
      <c r="F20" s="280">
        <f>SUM(F8:F19)</f>
        <v>0</v>
      </c>
    </row>
    <row r="21" spans="1:6" ht="24" customHeight="1" thickTop="1">
      <c r="A21" s="503"/>
      <c r="B21" s="503"/>
      <c r="C21" s="503"/>
      <c r="D21" s="503"/>
      <c r="E21" s="503"/>
      <c r="F21" s="503"/>
    </row>
    <row r="22" spans="1:6" ht="24" customHeight="1">
      <c r="A22" s="503"/>
      <c r="B22" s="503"/>
      <c r="C22" s="503"/>
      <c r="D22" s="503"/>
      <c r="E22" s="503"/>
      <c r="F22" s="503"/>
    </row>
    <row r="23" ht="24" customHeight="1">
      <c r="F23" s="84"/>
    </row>
    <row r="24" ht="24" customHeight="1">
      <c r="F24" s="84"/>
    </row>
  </sheetData>
  <mergeCells count="5">
    <mergeCell ref="A22:F22"/>
    <mergeCell ref="A2:F2"/>
    <mergeCell ref="A3:F3"/>
    <mergeCell ref="A4:F4"/>
    <mergeCell ref="A21:F21"/>
  </mergeCells>
  <printOptions/>
  <pageMargins left="0.72" right="0.29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4" sqref="C14"/>
    </sheetView>
  </sheetViews>
  <sheetFormatPr defaultColWidth="9.140625" defaultRowHeight="24.75" customHeight="1"/>
  <cols>
    <col min="1" max="1" width="11.7109375" style="4" customWidth="1"/>
    <col min="2" max="2" width="42.00390625" style="4" customWidth="1"/>
    <col min="3" max="3" width="24.421875" style="4" customWidth="1"/>
    <col min="4" max="4" width="15.7109375" style="4" customWidth="1"/>
    <col min="5" max="6" width="9.140625" style="4" customWidth="1"/>
    <col min="7" max="7" width="19.8515625" style="4" customWidth="1"/>
    <col min="8" max="16384" width="9.140625" style="4" customWidth="1"/>
  </cols>
  <sheetData>
    <row r="1" ht="24.75" customHeight="1">
      <c r="D1" s="124" t="s">
        <v>446</v>
      </c>
    </row>
    <row r="2" spans="1:4" ht="24.75" customHeight="1">
      <c r="A2" s="505" t="s">
        <v>153</v>
      </c>
      <c r="B2" s="505"/>
      <c r="C2" s="505"/>
      <c r="D2" s="505"/>
    </row>
    <row r="3" spans="1:4" ht="24.75" customHeight="1">
      <c r="A3" s="503" t="s">
        <v>447</v>
      </c>
      <c r="B3" s="503"/>
      <c r="C3" s="503"/>
      <c r="D3" s="503"/>
    </row>
    <row r="4" spans="1:4" ht="24.75" customHeight="1">
      <c r="A4" s="12"/>
      <c r="B4" s="12"/>
      <c r="C4" s="12"/>
      <c r="D4" s="12"/>
    </row>
    <row r="5" ht="24.75" customHeight="1">
      <c r="D5" s="243" t="s">
        <v>415</v>
      </c>
    </row>
    <row r="6" ht="24.75" customHeight="1">
      <c r="A6" s="128" t="s">
        <v>448</v>
      </c>
    </row>
    <row r="7" spans="1:4" ht="24.75" customHeight="1">
      <c r="A7" s="281" t="s">
        <v>449</v>
      </c>
      <c r="D7" s="5">
        <v>0</v>
      </c>
    </row>
    <row r="8" spans="1:4" ht="24.75" customHeight="1">
      <c r="A8" s="282" t="s">
        <v>450</v>
      </c>
      <c r="D8" s="15"/>
    </row>
    <row r="9" spans="1:4" ht="24.75" customHeight="1">
      <c r="A9" s="282" t="s">
        <v>451</v>
      </c>
      <c r="D9" s="5"/>
    </row>
    <row r="10" spans="1:4" ht="24.75" customHeight="1">
      <c r="A10" s="281" t="s">
        <v>452</v>
      </c>
      <c r="D10" s="5">
        <v>0</v>
      </c>
    </row>
    <row r="11" spans="2:4" ht="24.75" customHeight="1" thickBot="1">
      <c r="B11" s="9" t="s">
        <v>421</v>
      </c>
      <c r="D11" s="6">
        <f>SUM(D7:D10)</f>
        <v>0</v>
      </c>
    </row>
    <row r="12" ht="24.75" customHeight="1" thickTop="1"/>
    <row r="14" s="10" customFormat="1" ht="24.75" customHeight="1"/>
    <row r="15" s="10" customFormat="1" ht="24.75" customHeight="1"/>
    <row r="16" s="10" customFormat="1" ht="24.75" customHeight="1">
      <c r="D16" s="11"/>
    </row>
    <row r="17" s="10" customFormat="1" ht="24.75" customHeight="1">
      <c r="D17" s="11"/>
    </row>
    <row r="18" spans="2:4" s="10" customFormat="1" ht="24.75" customHeight="1">
      <c r="B18" s="46"/>
      <c r="D18" s="8"/>
    </row>
    <row r="19" s="10" customFormat="1" ht="24.75" customHeight="1">
      <c r="D19" s="11"/>
    </row>
    <row r="20" s="10" customFormat="1" ht="24.75" customHeight="1"/>
    <row r="21" s="10" customFormat="1" ht="24.75" customHeight="1"/>
    <row r="22" s="10" customFormat="1" ht="24.75" customHeight="1"/>
    <row r="23" s="10" customFormat="1" ht="24.75" customHeight="1"/>
  </sheetData>
  <mergeCells count="2">
    <mergeCell ref="A3:D3"/>
    <mergeCell ref="A2:D2"/>
  </mergeCells>
  <printOptions/>
  <pageMargins left="1.08" right="0.33" top="0.65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B1">
      <selection activeCell="E26" sqref="E26"/>
    </sheetView>
  </sheetViews>
  <sheetFormatPr defaultColWidth="9.140625" defaultRowHeight="21.75"/>
  <cols>
    <col min="1" max="1" width="18.140625" style="303" customWidth="1"/>
    <col min="2" max="2" width="25.7109375" style="303" customWidth="1"/>
    <col min="3" max="6" width="13.28125" style="303" customWidth="1"/>
    <col min="7" max="8" width="13.28125" style="255" customWidth="1"/>
    <col min="9" max="9" width="27.28125" style="303" customWidth="1"/>
    <col min="10" max="16384" width="9.140625" style="303" customWidth="1"/>
  </cols>
  <sheetData>
    <row r="1" ht="23.25">
      <c r="I1" s="311" t="s">
        <v>531</v>
      </c>
    </row>
    <row r="2" spans="1:9" ht="23.25">
      <c r="A2" s="520" t="s">
        <v>153</v>
      </c>
      <c r="B2" s="520"/>
      <c r="C2" s="520"/>
      <c r="D2" s="520"/>
      <c r="E2" s="520"/>
      <c r="F2" s="520"/>
      <c r="G2" s="520"/>
      <c r="H2" s="520"/>
      <c r="I2" s="520"/>
    </row>
    <row r="3" spans="1:9" ht="23.25">
      <c r="A3" s="520" t="s">
        <v>161</v>
      </c>
      <c r="B3" s="520"/>
      <c r="C3" s="520"/>
      <c r="D3" s="520"/>
      <c r="E3" s="520"/>
      <c r="F3" s="520"/>
      <c r="G3" s="520"/>
      <c r="H3" s="520"/>
      <c r="I3" s="520"/>
    </row>
    <row r="4" spans="1:9" ht="23.25">
      <c r="A4" s="520" t="s">
        <v>462</v>
      </c>
      <c r="B4" s="520"/>
      <c r="C4" s="520"/>
      <c r="D4" s="520"/>
      <c r="E4" s="520"/>
      <c r="F4" s="520"/>
      <c r="G4" s="520"/>
      <c r="H4" s="520"/>
      <c r="I4" s="520"/>
    </row>
    <row r="5" spans="1:9" ht="23.25">
      <c r="A5" s="290" t="s">
        <v>8</v>
      </c>
      <c r="B5" s="521" t="s">
        <v>116</v>
      </c>
      <c r="C5" s="522" t="s">
        <v>164</v>
      </c>
      <c r="D5" s="522"/>
      <c r="E5" s="521" t="s">
        <v>118</v>
      </c>
      <c r="F5" s="521" t="s">
        <v>120</v>
      </c>
      <c r="G5" s="312" t="s">
        <v>167</v>
      </c>
      <c r="H5" s="523" t="s">
        <v>168</v>
      </c>
      <c r="I5" s="524" t="s">
        <v>122</v>
      </c>
    </row>
    <row r="6" spans="1:9" ht="23.25">
      <c r="A6" s="292" t="s">
        <v>463</v>
      </c>
      <c r="B6" s="521"/>
      <c r="C6" s="291" t="s">
        <v>165</v>
      </c>
      <c r="D6" s="291" t="s">
        <v>166</v>
      </c>
      <c r="E6" s="521"/>
      <c r="F6" s="521"/>
      <c r="G6" s="313" t="s">
        <v>464</v>
      </c>
      <c r="H6" s="523"/>
      <c r="I6" s="525"/>
    </row>
    <row r="7" spans="1:9" ht="23.25">
      <c r="A7" s="290" t="s">
        <v>462</v>
      </c>
      <c r="B7" s="293" t="s">
        <v>465</v>
      </c>
      <c r="C7" s="63">
        <v>584442</v>
      </c>
      <c r="D7" s="63">
        <v>0</v>
      </c>
      <c r="E7" s="63">
        <v>584442</v>
      </c>
      <c r="F7" s="63">
        <v>584442</v>
      </c>
      <c r="G7" s="63">
        <v>0</v>
      </c>
      <c r="H7" s="63">
        <v>0</v>
      </c>
      <c r="I7" s="293" t="s">
        <v>466</v>
      </c>
    </row>
    <row r="8" spans="1:9" ht="23.25">
      <c r="A8" s="294" t="s">
        <v>467</v>
      </c>
      <c r="B8" s="295" t="s">
        <v>468</v>
      </c>
      <c r="C8" s="65">
        <v>74036</v>
      </c>
      <c r="D8" s="65">
        <v>0</v>
      </c>
      <c r="E8" s="65">
        <v>74036</v>
      </c>
      <c r="F8" s="65">
        <f>C8</f>
        <v>74036</v>
      </c>
      <c r="G8" s="65">
        <v>0</v>
      </c>
      <c r="H8" s="65">
        <v>0</v>
      </c>
      <c r="I8" s="295" t="s">
        <v>469</v>
      </c>
    </row>
    <row r="9" spans="1:9" ht="23.25">
      <c r="A9" s="294" t="s">
        <v>467</v>
      </c>
      <c r="B9" s="295" t="s">
        <v>470</v>
      </c>
      <c r="C9" s="65">
        <v>513660</v>
      </c>
      <c r="D9" s="65">
        <v>0</v>
      </c>
      <c r="E9" s="65">
        <v>513660</v>
      </c>
      <c r="F9" s="65">
        <f>C9</f>
        <v>513660</v>
      </c>
      <c r="G9" s="65">
        <v>0</v>
      </c>
      <c r="H9" s="65">
        <v>0</v>
      </c>
      <c r="I9" s="295" t="s">
        <v>471</v>
      </c>
    </row>
    <row r="10" spans="1:9" ht="23.25">
      <c r="A10" s="294" t="s">
        <v>467</v>
      </c>
      <c r="B10" s="295" t="s">
        <v>472</v>
      </c>
      <c r="C10" s="65">
        <v>255465</v>
      </c>
      <c r="D10" s="65">
        <v>0</v>
      </c>
      <c r="E10" s="65">
        <v>255465</v>
      </c>
      <c r="F10" s="65">
        <f>C10</f>
        <v>255465</v>
      </c>
      <c r="G10" s="65">
        <v>0</v>
      </c>
      <c r="H10" s="65">
        <v>0</v>
      </c>
      <c r="I10" s="295" t="s">
        <v>473</v>
      </c>
    </row>
    <row r="11" spans="1:9" ht="23.25">
      <c r="A11" s="294" t="s">
        <v>467</v>
      </c>
      <c r="B11" s="295" t="s">
        <v>184</v>
      </c>
      <c r="C11" s="296">
        <v>175623</v>
      </c>
      <c r="D11" s="65">
        <v>0</v>
      </c>
      <c r="E11" s="65">
        <v>175623</v>
      </c>
      <c r="F11" s="65">
        <v>175623</v>
      </c>
      <c r="G11" s="65">
        <v>0</v>
      </c>
      <c r="H11" s="65">
        <v>0</v>
      </c>
      <c r="I11" s="295" t="s">
        <v>474</v>
      </c>
    </row>
    <row r="12" spans="1:9" ht="23.25">
      <c r="A12" s="294" t="s">
        <v>467</v>
      </c>
      <c r="B12" s="295" t="s">
        <v>475</v>
      </c>
      <c r="C12" s="296" t="s">
        <v>476</v>
      </c>
      <c r="D12" s="65">
        <v>0</v>
      </c>
      <c r="E12" s="296" t="str">
        <f>C12</f>
        <v> -</v>
      </c>
      <c r="F12" s="296" t="str">
        <f>C12</f>
        <v> -</v>
      </c>
      <c r="G12" s="65">
        <v>0</v>
      </c>
      <c r="H12" s="315">
        <v>0</v>
      </c>
      <c r="I12" s="295" t="s">
        <v>477</v>
      </c>
    </row>
    <row r="13" spans="1:9" ht="23.25">
      <c r="A13" s="294" t="s">
        <v>467</v>
      </c>
      <c r="B13" s="295" t="s">
        <v>435</v>
      </c>
      <c r="C13" s="296" t="s">
        <v>476</v>
      </c>
      <c r="D13" s="65">
        <v>0</v>
      </c>
      <c r="E13" s="296" t="s">
        <v>476</v>
      </c>
      <c r="F13" s="296" t="s">
        <v>476</v>
      </c>
      <c r="G13" s="65">
        <v>0</v>
      </c>
      <c r="H13" s="65">
        <v>0</v>
      </c>
      <c r="I13" s="295" t="s">
        <v>478</v>
      </c>
    </row>
    <row r="14" spans="1:9" ht="23.25">
      <c r="A14" s="294" t="s">
        <v>467</v>
      </c>
      <c r="B14" s="295" t="s">
        <v>123</v>
      </c>
      <c r="C14" s="65">
        <v>2352500</v>
      </c>
      <c r="D14" s="65">
        <v>0</v>
      </c>
      <c r="E14" s="65">
        <v>2345885</v>
      </c>
      <c r="F14" s="65">
        <v>2345885</v>
      </c>
      <c r="G14" s="65">
        <v>6615</v>
      </c>
      <c r="H14" s="65">
        <v>6615</v>
      </c>
      <c r="I14" s="295" t="s">
        <v>479</v>
      </c>
    </row>
    <row r="15" spans="1:9" ht="23.25">
      <c r="A15" s="295"/>
      <c r="B15" s="295"/>
      <c r="C15" s="65"/>
      <c r="D15" s="65"/>
      <c r="E15" s="65"/>
      <c r="F15" s="65"/>
      <c r="G15" s="65"/>
      <c r="H15" s="65"/>
      <c r="I15" s="295" t="s">
        <v>480</v>
      </c>
    </row>
    <row r="16" spans="1:9" ht="23.25">
      <c r="A16" s="295"/>
      <c r="B16" s="295"/>
      <c r="C16" s="65"/>
      <c r="D16" s="65"/>
      <c r="E16" s="65"/>
      <c r="F16" s="65"/>
      <c r="G16" s="65"/>
      <c r="H16" s="65"/>
      <c r="I16" s="295"/>
    </row>
    <row r="17" spans="1:9" ht="23.25">
      <c r="A17" s="295"/>
      <c r="B17" s="295"/>
      <c r="C17" s="65"/>
      <c r="D17" s="65"/>
      <c r="E17" s="65"/>
      <c r="F17" s="65"/>
      <c r="G17" s="65"/>
      <c r="H17" s="65"/>
      <c r="I17" s="295"/>
    </row>
    <row r="18" spans="1:9" ht="23.25">
      <c r="A18" s="295"/>
      <c r="B18" s="295"/>
      <c r="C18" s="65"/>
      <c r="D18" s="65"/>
      <c r="E18" s="65"/>
      <c r="F18" s="65"/>
      <c r="G18" s="65"/>
      <c r="H18" s="65"/>
      <c r="I18" s="295"/>
    </row>
    <row r="19" spans="1:9" ht="23.25">
      <c r="A19" s="297"/>
      <c r="B19" s="297"/>
      <c r="C19" s="69"/>
      <c r="D19" s="69"/>
      <c r="E19" s="69"/>
      <c r="F19" s="69"/>
      <c r="G19" s="69"/>
      <c r="H19" s="69"/>
      <c r="I19" s="297"/>
    </row>
    <row r="20" spans="1:9" ht="24" thickBot="1">
      <c r="A20" s="298"/>
      <c r="B20" s="299" t="s">
        <v>11</v>
      </c>
      <c r="C20" s="300">
        <f aca="true" t="shared" si="0" ref="C20:H20">SUM(C6:C19)</f>
        <v>3955726</v>
      </c>
      <c r="D20" s="301">
        <f t="shared" si="0"/>
        <v>0</v>
      </c>
      <c r="E20" s="300">
        <f t="shared" si="0"/>
        <v>3949111</v>
      </c>
      <c r="F20" s="300">
        <f t="shared" si="0"/>
        <v>3949111</v>
      </c>
      <c r="G20" s="300">
        <f t="shared" si="0"/>
        <v>6615</v>
      </c>
      <c r="H20" s="300">
        <f t="shared" si="0"/>
        <v>6615</v>
      </c>
      <c r="I20" s="298"/>
    </row>
    <row r="21" spans="1:9" ht="23.25">
      <c r="A21" s="302"/>
      <c r="B21" s="302"/>
      <c r="C21" s="302"/>
      <c r="D21" s="302"/>
      <c r="E21" s="302"/>
      <c r="F21" s="302"/>
      <c r="G21" s="314"/>
      <c r="H21" s="314"/>
      <c r="I21" s="302"/>
    </row>
    <row r="22" spans="2:3" ht="22.5" customHeight="1">
      <c r="B22" s="303" t="s">
        <v>481</v>
      </c>
      <c r="C22" s="304">
        <v>3955726</v>
      </c>
    </row>
    <row r="23" spans="1:3" ht="22.5" customHeight="1">
      <c r="A23" s="289" t="s">
        <v>482</v>
      </c>
      <c r="B23" s="303" t="s">
        <v>167</v>
      </c>
      <c r="C23" s="304">
        <v>6615</v>
      </c>
    </row>
    <row r="24" spans="2:3" ht="23.25" customHeight="1">
      <c r="B24" s="303" t="s">
        <v>483</v>
      </c>
      <c r="C24" s="305">
        <v>3949111</v>
      </c>
    </row>
  </sheetData>
  <mergeCells count="9">
    <mergeCell ref="A2:I2"/>
    <mergeCell ref="A3:I3"/>
    <mergeCell ref="A4:I4"/>
    <mergeCell ref="B5:B6"/>
    <mergeCell ref="C5:D5"/>
    <mergeCell ref="E5:E6"/>
    <mergeCell ref="F5:F6"/>
    <mergeCell ref="H5:H6"/>
    <mergeCell ref="I5:I6"/>
  </mergeCells>
  <printOptions/>
  <pageMargins left="0.63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4" sqref="B14"/>
    </sheetView>
  </sheetViews>
  <sheetFormatPr defaultColWidth="9.140625" defaultRowHeight="24.75" customHeight="1"/>
  <cols>
    <col min="1" max="1" width="9.140625" style="136" customWidth="1"/>
    <col min="2" max="2" width="50.8515625" style="67" customWidth="1"/>
    <col min="3" max="3" width="16.7109375" style="255" customWidth="1"/>
    <col min="4" max="4" width="16.7109375" style="67" customWidth="1"/>
    <col min="5" max="16384" width="9.140625" style="67" customWidth="1"/>
  </cols>
  <sheetData>
    <row r="1" ht="24.75" customHeight="1">
      <c r="D1" s="80" t="s">
        <v>456</v>
      </c>
    </row>
    <row r="2" spans="1:4" ht="24.75" customHeight="1">
      <c r="A2" s="505" t="s">
        <v>153</v>
      </c>
      <c r="B2" s="505"/>
      <c r="C2" s="505"/>
      <c r="D2" s="505"/>
    </row>
    <row r="3" spans="1:4" ht="24.75" customHeight="1">
      <c r="A3" s="505" t="s">
        <v>457</v>
      </c>
      <c r="B3" s="505"/>
      <c r="C3" s="505"/>
      <c r="D3" s="505"/>
    </row>
    <row r="4" spans="1:4" ht="24.75" customHeight="1">
      <c r="A4" s="526" t="s">
        <v>462</v>
      </c>
      <c r="B4" s="526"/>
      <c r="C4" s="526"/>
      <c r="D4" s="526"/>
    </row>
    <row r="5" spans="1:4" s="133" customFormat="1" ht="24.75" customHeight="1">
      <c r="A5" s="117"/>
      <c r="B5" s="117"/>
      <c r="C5" s="178"/>
      <c r="D5" s="117"/>
    </row>
    <row r="6" spans="1:4" s="81" customFormat="1" ht="24.75" customHeight="1">
      <c r="A6" s="283" t="s">
        <v>458</v>
      </c>
      <c r="B6" s="283" t="s">
        <v>21</v>
      </c>
      <c r="C6" s="284" t="s">
        <v>117</v>
      </c>
      <c r="D6" s="283" t="s">
        <v>122</v>
      </c>
    </row>
    <row r="7" spans="1:4" ht="24.75" customHeight="1">
      <c r="A7" s="285">
        <v>1</v>
      </c>
      <c r="B7" s="129" t="s">
        <v>484</v>
      </c>
      <c r="C7" s="63">
        <f>23135+1500</f>
        <v>24635</v>
      </c>
      <c r="D7" s="129"/>
    </row>
    <row r="8" spans="1:4" ht="24.75" customHeight="1">
      <c r="A8" s="286">
        <v>2</v>
      </c>
      <c r="B8" s="134" t="s">
        <v>459</v>
      </c>
      <c r="C8" s="65">
        <v>188263.34</v>
      </c>
      <c r="D8" s="134"/>
    </row>
    <row r="9" spans="1:4" ht="24.75" customHeight="1">
      <c r="A9" s="286">
        <v>3</v>
      </c>
      <c r="B9" s="134" t="s">
        <v>485</v>
      </c>
      <c r="C9" s="65">
        <v>844.16</v>
      </c>
      <c r="D9" s="134"/>
    </row>
    <row r="10" spans="1:4" ht="24.75" customHeight="1">
      <c r="A10" s="286">
        <v>4</v>
      </c>
      <c r="B10" s="134" t="s">
        <v>460</v>
      </c>
      <c r="C10" s="65">
        <v>1</v>
      </c>
      <c r="D10" s="134"/>
    </row>
    <row r="11" spans="1:4" ht="24.75" customHeight="1">
      <c r="A11" s="286"/>
      <c r="B11" s="134"/>
      <c r="C11" s="65"/>
      <c r="D11" s="134"/>
    </row>
    <row r="12" spans="1:4" ht="24.75" customHeight="1" thickBot="1">
      <c r="A12" s="287"/>
      <c r="B12" s="83" t="s">
        <v>461</v>
      </c>
      <c r="C12" s="288">
        <f>SUM(C7:C10)</f>
        <v>213743.5</v>
      </c>
      <c r="D12" s="135"/>
    </row>
    <row r="13" ht="24.75" customHeight="1" thickTop="1"/>
  </sheetData>
  <mergeCells count="3">
    <mergeCell ref="A2:D2"/>
    <mergeCell ref="A3:D3"/>
    <mergeCell ref="A4:D4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55">
      <selection activeCell="B97" sqref="B97"/>
    </sheetView>
  </sheetViews>
  <sheetFormatPr defaultColWidth="9.140625" defaultRowHeight="21.75"/>
  <cols>
    <col min="1" max="1" width="13.8515625" style="156" customWidth="1"/>
    <col min="2" max="2" width="37.57421875" style="64" customWidth="1"/>
    <col min="3" max="4" width="13.7109375" style="140" customWidth="1"/>
    <col min="5" max="5" width="12.140625" style="140" customWidth="1"/>
    <col min="6" max="8" width="13.7109375" style="140" customWidth="1"/>
    <col min="9" max="9" width="25.28125" style="64" customWidth="1"/>
    <col min="10" max="16384" width="9.140625" style="64" customWidth="1"/>
  </cols>
  <sheetData>
    <row r="1" spans="1:9" ht="21">
      <c r="A1" s="530" t="s">
        <v>162</v>
      </c>
      <c r="B1" s="530"/>
      <c r="C1" s="530"/>
      <c r="D1" s="530"/>
      <c r="E1" s="530"/>
      <c r="F1" s="530"/>
      <c r="G1" s="530"/>
      <c r="H1" s="530"/>
      <c r="I1" s="530"/>
    </row>
    <row r="2" spans="1:9" s="79" customFormat="1" ht="21">
      <c r="A2" s="531" t="s">
        <v>153</v>
      </c>
      <c r="B2" s="531"/>
      <c r="C2" s="531"/>
      <c r="D2" s="531"/>
      <c r="E2" s="531"/>
      <c r="F2" s="531"/>
      <c r="G2" s="531"/>
      <c r="H2" s="531"/>
      <c r="I2" s="531"/>
    </row>
    <row r="3" spans="1:9" s="79" customFormat="1" ht="21">
      <c r="A3" s="531" t="s">
        <v>161</v>
      </c>
      <c r="B3" s="531"/>
      <c r="C3" s="531"/>
      <c r="D3" s="531"/>
      <c r="E3" s="531"/>
      <c r="F3" s="531"/>
      <c r="G3" s="531"/>
      <c r="H3" s="531"/>
      <c r="I3" s="531"/>
    </row>
    <row r="4" spans="1:9" s="79" customFormat="1" ht="21">
      <c r="A4" s="531" t="s">
        <v>486</v>
      </c>
      <c r="B4" s="531"/>
      <c r="C4" s="531"/>
      <c r="D4" s="531"/>
      <c r="E4" s="531"/>
      <c r="F4" s="531"/>
      <c r="G4" s="531"/>
      <c r="H4" s="531"/>
      <c r="I4" s="531"/>
    </row>
    <row r="5" spans="1:9" s="97" customFormat="1" ht="21">
      <c r="A5" s="157" t="s">
        <v>163</v>
      </c>
      <c r="B5" s="157" t="s">
        <v>116</v>
      </c>
      <c r="C5" s="518" t="s">
        <v>164</v>
      </c>
      <c r="D5" s="529"/>
      <c r="E5" s="158" t="s">
        <v>118</v>
      </c>
      <c r="F5" s="158" t="s">
        <v>120</v>
      </c>
      <c r="G5" s="158" t="s">
        <v>167</v>
      </c>
      <c r="H5" s="158" t="s">
        <v>168</v>
      </c>
      <c r="I5" s="157" t="s">
        <v>122</v>
      </c>
    </row>
    <row r="6" spans="1:9" s="97" customFormat="1" ht="21">
      <c r="A6" s="75"/>
      <c r="B6" s="160"/>
      <c r="C6" s="159" t="s">
        <v>165</v>
      </c>
      <c r="D6" s="159" t="s">
        <v>166</v>
      </c>
      <c r="E6" s="160"/>
      <c r="F6" s="160"/>
      <c r="G6" s="161" t="s">
        <v>190</v>
      </c>
      <c r="H6" s="160"/>
      <c r="I6" s="75"/>
    </row>
    <row r="7" spans="1:14" s="88" customFormat="1" ht="21">
      <c r="A7" s="162" t="s">
        <v>191</v>
      </c>
      <c r="B7" s="170" t="s">
        <v>32</v>
      </c>
      <c r="C7" s="164"/>
      <c r="D7" s="164"/>
      <c r="E7" s="164"/>
      <c r="F7" s="164"/>
      <c r="G7" s="166"/>
      <c r="H7" s="164"/>
      <c r="I7" s="163" t="s">
        <v>487</v>
      </c>
      <c r="J7" s="94"/>
      <c r="K7" s="94"/>
      <c r="L7" s="94"/>
      <c r="M7" s="94"/>
      <c r="N7" s="94"/>
    </row>
    <row r="8" spans="1:14" s="88" customFormat="1" ht="21">
      <c r="A8" s="162"/>
      <c r="B8" s="163" t="s">
        <v>192</v>
      </c>
      <c r="C8" s="164">
        <v>100000</v>
      </c>
      <c r="D8" s="164">
        <v>0</v>
      </c>
      <c r="E8" s="164">
        <v>100000</v>
      </c>
      <c r="F8" s="164">
        <v>100000</v>
      </c>
      <c r="G8" s="166">
        <f>+C8-F8</f>
        <v>0</v>
      </c>
      <c r="H8" s="164"/>
      <c r="I8" s="163" t="s">
        <v>488</v>
      </c>
      <c r="J8" s="94"/>
      <c r="K8" s="94"/>
      <c r="L8" s="94"/>
      <c r="M8" s="94"/>
      <c r="N8" s="94"/>
    </row>
    <row r="9" spans="1:14" s="88" customFormat="1" ht="21">
      <c r="A9" s="162"/>
      <c r="B9" s="163"/>
      <c r="C9" s="164"/>
      <c r="D9" s="164"/>
      <c r="E9" s="164"/>
      <c r="F9" s="164"/>
      <c r="G9" s="166"/>
      <c r="H9" s="164"/>
      <c r="I9" s="163" t="s">
        <v>471</v>
      </c>
      <c r="J9" s="94"/>
      <c r="K9" s="94"/>
      <c r="L9" s="94"/>
      <c r="M9" s="94"/>
      <c r="N9" s="94"/>
    </row>
    <row r="10" spans="1:14" s="88" customFormat="1" ht="21">
      <c r="A10" s="162" t="s">
        <v>191</v>
      </c>
      <c r="B10" s="170" t="s">
        <v>154</v>
      </c>
      <c r="C10" s="164"/>
      <c r="D10" s="164"/>
      <c r="E10" s="164"/>
      <c r="F10" s="164"/>
      <c r="G10" s="166"/>
      <c r="H10" s="164"/>
      <c r="I10" s="162"/>
      <c r="J10" s="94"/>
      <c r="K10" s="94"/>
      <c r="L10" s="94"/>
      <c r="M10" s="94"/>
      <c r="N10" s="94"/>
    </row>
    <row r="11" spans="1:14" s="88" customFormat="1" ht="21">
      <c r="A11" s="162"/>
      <c r="B11" s="163" t="s">
        <v>195</v>
      </c>
      <c r="C11" s="164">
        <v>191000</v>
      </c>
      <c r="D11" s="164">
        <v>0</v>
      </c>
      <c r="E11" s="164">
        <v>191000</v>
      </c>
      <c r="F11" s="164">
        <v>191000</v>
      </c>
      <c r="G11" s="166">
        <f>+C11-F11</f>
        <v>0</v>
      </c>
      <c r="H11" s="164"/>
      <c r="I11" s="162" t="s">
        <v>467</v>
      </c>
      <c r="J11" s="94"/>
      <c r="K11" s="94"/>
      <c r="L11" s="94"/>
      <c r="M11" s="94"/>
      <c r="N11" s="94"/>
    </row>
    <row r="12" spans="1:14" s="88" customFormat="1" ht="21">
      <c r="A12" s="162"/>
      <c r="B12" s="163" t="s">
        <v>194</v>
      </c>
      <c r="C12" s="164">
        <v>149000</v>
      </c>
      <c r="D12" s="164">
        <v>0</v>
      </c>
      <c r="E12" s="164">
        <v>149000</v>
      </c>
      <c r="F12" s="164">
        <v>149000</v>
      </c>
      <c r="G12" s="166">
        <v>0</v>
      </c>
      <c r="H12" s="164"/>
      <c r="I12" s="162" t="s">
        <v>467</v>
      </c>
      <c r="J12" s="94"/>
      <c r="K12" s="94"/>
      <c r="L12" s="94"/>
      <c r="M12" s="94"/>
      <c r="N12" s="94"/>
    </row>
    <row r="13" spans="1:14" s="88" customFormat="1" ht="21">
      <c r="A13" s="162"/>
      <c r="B13" s="163" t="s">
        <v>193</v>
      </c>
      <c r="C13" s="164">
        <v>222000</v>
      </c>
      <c r="D13" s="164">
        <v>0</v>
      </c>
      <c r="E13" s="164">
        <v>222000</v>
      </c>
      <c r="F13" s="164">
        <v>222000</v>
      </c>
      <c r="G13" s="166">
        <v>0</v>
      </c>
      <c r="H13" s="164"/>
      <c r="I13" s="162" t="s">
        <v>467</v>
      </c>
      <c r="J13" s="94"/>
      <c r="K13" s="94"/>
      <c r="L13" s="94"/>
      <c r="M13" s="94"/>
      <c r="N13" s="94"/>
    </row>
    <row r="14" spans="1:14" s="88" customFormat="1" ht="21">
      <c r="A14" s="162"/>
      <c r="B14" s="163"/>
      <c r="C14" s="164"/>
      <c r="D14" s="164"/>
      <c r="E14" s="164"/>
      <c r="F14" s="164"/>
      <c r="G14" s="166"/>
      <c r="H14" s="164"/>
      <c r="I14" s="163"/>
      <c r="J14" s="94"/>
      <c r="K14" s="94"/>
      <c r="L14" s="94"/>
      <c r="M14" s="94"/>
      <c r="N14" s="94"/>
    </row>
    <row r="15" spans="1:14" s="88" customFormat="1" ht="21">
      <c r="A15" s="162" t="s">
        <v>489</v>
      </c>
      <c r="B15" s="170" t="s">
        <v>154</v>
      </c>
      <c r="C15" s="164"/>
      <c r="D15" s="164"/>
      <c r="E15" s="164"/>
      <c r="F15" s="164"/>
      <c r="G15" s="166"/>
      <c r="H15" s="164"/>
      <c r="I15" s="163" t="s">
        <v>490</v>
      </c>
      <c r="J15" s="94"/>
      <c r="K15" s="94"/>
      <c r="L15" s="94"/>
      <c r="M15" s="94"/>
      <c r="N15" s="94"/>
    </row>
    <row r="16" spans="1:14" s="88" customFormat="1" ht="21">
      <c r="A16" s="162"/>
      <c r="B16" s="163" t="s">
        <v>491</v>
      </c>
      <c r="C16" s="164">
        <v>94500</v>
      </c>
      <c r="D16" s="164">
        <v>0</v>
      </c>
      <c r="E16" s="164">
        <v>87885</v>
      </c>
      <c r="F16" s="164">
        <v>87885</v>
      </c>
      <c r="G16" s="166">
        <v>6615</v>
      </c>
      <c r="H16" s="164"/>
      <c r="I16" s="163" t="s">
        <v>488</v>
      </c>
      <c r="J16" s="94"/>
      <c r="K16" s="94"/>
      <c r="L16" s="94"/>
      <c r="M16" s="94"/>
      <c r="N16" s="94"/>
    </row>
    <row r="17" spans="1:11" s="156" customFormat="1" ht="21">
      <c r="A17" s="162"/>
      <c r="B17" s="168" t="s">
        <v>492</v>
      </c>
      <c r="C17" s="166">
        <v>700000</v>
      </c>
      <c r="D17" s="166">
        <v>0</v>
      </c>
      <c r="E17" s="166">
        <v>700000</v>
      </c>
      <c r="F17" s="166">
        <v>700000</v>
      </c>
      <c r="G17" s="166">
        <v>0</v>
      </c>
      <c r="H17" s="166"/>
      <c r="I17" s="163" t="s">
        <v>477</v>
      </c>
      <c r="J17" s="168"/>
      <c r="K17" s="168"/>
    </row>
    <row r="18" spans="1:11" s="156" customFormat="1" ht="21">
      <c r="A18" s="162"/>
      <c r="B18" s="168" t="s">
        <v>493</v>
      </c>
      <c r="C18" s="166">
        <v>760000</v>
      </c>
      <c r="D18" s="166">
        <v>0</v>
      </c>
      <c r="E18" s="166">
        <v>760000</v>
      </c>
      <c r="F18" s="166">
        <v>760000</v>
      </c>
      <c r="G18" s="166">
        <v>0</v>
      </c>
      <c r="H18" s="166"/>
      <c r="I18" s="163"/>
      <c r="J18" s="168"/>
      <c r="K18" s="168"/>
    </row>
    <row r="19" spans="1:11" s="156" customFormat="1" ht="21">
      <c r="A19" s="162"/>
      <c r="B19" s="168" t="s">
        <v>494</v>
      </c>
      <c r="C19" s="166"/>
      <c r="D19" s="166"/>
      <c r="E19" s="166"/>
      <c r="F19" s="166"/>
      <c r="G19" s="166"/>
      <c r="H19" s="166"/>
      <c r="I19" s="163"/>
      <c r="J19" s="168"/>
      <c r="K19" s="168"/>
    </row>
    <row r="20" spans="1:11" s="156" customFormat="1" ht="21">
      <c r="A20" s="162" t="s">
        <v>495</v>
      </c>
      <c r="B20" s="169" t="s">
        <v>32</v>
      </c>
      <c r="C20" s="166"/>
      <c r="D20" s="166"/>
      <c r="E20" s="166"/>
      <c r="F20" s="166"/>
      <c r="G20" s="166"/>
      <c r="H20" s="166"/>
      <c r="I20" s="167" t="s">
        <v>496</v>
      </c>
      <c r="J20" s="168"/>
      <c r="K20" s="168"/>
    </row>
    <row r="21" spans="1:11" s="156" customFormat="1" ht="21">
      <c r="A21" s="162"/>
      <c r="B21" s="168" t="s">
        <v>497</v>
      </c>
      <c r="C21" s="165">
        <v>75623</v>
      </c>
      <c r="D21" s="166">
        <v>0</v>
      </c>
      <c r="E21" s="165">
        <v>75623</v>
      </c>
      <c r="F21" s="166">
        <v>75623</v>
      </c>
      <c r="G21" s="166">
        <v>0</v>
      </c>
      <c r="H21" s="166"/>
      <c r="I21" s="167" t="s">
        <v>498</v>
      </c>
      <c r="J21" s="168"/>
      <c r="K21" s="168"/>
    </row>
    <row r="22" spans="1:11" s="156" customFormat="1" ht="21">
      <c r="A22" s="162" t="s">
        <v>499</v>
      </c>
      <c r="B22" s="169" t="s">
        <v>154</v>
      </c>
      <c r="C22" s="165"/>
      <c r="D22" s="166"/>
      <c r="E22" s="165"/>
      <c r="F22" s="166"/>
      <c r="G22" s="166"/>
      <c r="H22" s="166"/>
      <c r="I22" s="167"/>
      <c r="J22" s="168"/>
      <c r="K22" s="168"/>
    </row>
    <row r="23" spans="1:11" s="156" customFormat="1" ht="21">
      <c r="A23" s="162"/>
      <c r="B23" s="168" t="s">
        <v>500</v>
      </c>
      <c r="C23" s="165">
        <v>236000</v>
      </c>
      <c r="D23" s="166">
        <v>0</v>
      </c>
      <c r="E23" s="165">
        <v>236000</v>
      </c>
      <c r="F23" s="166">
        <v>236000</v>
      </c>
      <c r="G23" s="166">
        <v>0</v>
      </c>
      <c r="H23" s="166"/>
      <c r="I23" s="167" t="s">
        <v>501</v>
      </c>
      <c r="J23" s="168"/>
      <c r="K23" s="168"/>
    </row>
    <row r="24" spans="1:11" s="156" customFormat="1" ht="21">
      <c r="A24" s="162"/>
      <c r="B24" s="168" t="s">
        <v>502</v>
      </c>
      <c r="C24" s="165"/>
      <c r="D24" s="166"/>
      <c r="E24" s="165"/>
      <c r="F24" s="166"/>
      <c r="G24" s="166"/>
      <c r="H24" s="166"/>
      <c r="I24" s="167" t="s">
        <v>488</v>
      </c>
      <c r="J24" s="168"/>
      <c r="K24" s="168"/>
    </row>
    <row r="25" spans="1:11" s="156" customFormat="1" ht="21">
      <c r="A25" s="162"/>
      <c r="B25" s="168"/>
      <c r="C25" s="165"/>
      <c r="D25" s="166"/>
      <c r="E25" s="165"/>
      <c r="F25" s="166"/>
      <c r="G25" s="166"/>
      <c r="H25" s="166"/>
      <c r="I25" s="167" t="s">
        <v>480</v>
      </c>
      <c r="J25" s="168"/>
      <c r="K25" s="168"/>
    </row>
    <row r="26" spans="1:9" ht="21">
      <c r="A26" s="162" t="s">
        <v>503</v>
      </c>
      <c r="B26" s="138" t="s">
        <v>504</v>
      </c>
      <c r="C26" s="164"/>
      <c r="D26" s="164"/>
      <c r="E26" s="164"/>
      <c r="F26" s="164"/>
      <c r="G26" s="166"/>
      <c r="H26" s="164"/>
      <c r="I26" s="163" t="s">
        <v>496</v>
      </c>
    </row>
    <row r="27" spans="1:9" s="176" customFormat="1" ht="21">
      <c r="A27" s="172"/>
      <c r="B27" s="177" t="s">
        <v>505</v>
      </c>
      <c r="C27" s="174">
        <v>32</v>
      </c>
      <c r="D27" s="174">
        <v>0</v>
      </c>
      <c r="E27" s="174">
        <v>32</v>
      </c>
      <c r="F27" s="174">
        <v>32</v>
      </c>
      <c r="G27" s="175">
        <v>0</v>
      </c>
      <c r="H27" s="174"/>
      <c r="I27" s="306" t="s">
        <v>498</v>
      </c>
    </row>
    <row r="28" spans="1:9" ht="21">
      <c r="A28" s="162" t="s">
        <v>506</v>
      </c>
      <c r="B28" s="138" t="s">
        <v>504</v>
      </c>
      <c r="C28" s="164"/>
      <c r="D28" s="164"/>
      <c r="E28" s="164"/>
      <c r="F28" s="164"/>
      <c r="G28" s="166"/>
      <c r="H28" s="164"/>
      <c r="I28" s="167" t="s">
        <v>496</v>
      </c>
    </row>
    <row r="29" spans="1:9" ht="21">
      <c r="A29" s="162"/>
      <c r="B29" s="94" t="s">
        <v>507</v>
      </c>
      <c r="C29" s="164">
        <v>129550</v>
      </c>
      <c r="D29" s="164">
        <v>0</v>
      </c>
      <c r="E29" s="164">
        <v>129550</v>
      </c>
      <c r="F29" s="164">
        <v>129550</v>
      </c>
      <c r="G29" s="166">
        <v>0</v>
      </c>
      <c r="H29" s="164"/>
      <c r="I29" s="167" t="s">
        <v>498</v>
      </c>
    </row>
    <row r="30" spans="1:9" ht="21">
      <c r="A30" s="162" t="s">
        <v>508</v>
      </c>
      <c r="B30" s="138" t="s">
        <v>504</v>
      </c>
      <c r="C30" s="164"/>
      <c r="D30" s="164"/>
      <c r="E30" s="164"/>
      <c r="F30" s="164"/>
      <c r="G30" s="166"/>
      <c r="H30" s="164"/>
      <c r="I30" s="167"/>
    </row>
    <row r="31" spans="1:9" ht="21">
      <c r="A31" s="162"/>
      <c r="B31" s="94" t="s">
        <v>505</v>
      </c>
      <c r="C31" s="164">
        <v>1448</v>
      </c>
      <c r="D31" s="164">
        <v>0</v>
      </c>
      <c r="E31" s="164">
        <v>1448</v>
      </c>
      <c r="F31" s="164">
        <v>1448</v>
      </c>
      <c r="G31" s="166">
        <v>0</v>
      </c>
      <c r="H31" s="164"/>
      <c r="I31" s="162" t="s">
        <v>467</v>
      </c>
    </row>
    <row r="32" spans="1:9" ht="21">
      <c r="A32" s="162" t="s">
        <v>509</v>
      </c>
      <c r="B32" s="171" t="s">
        <v>504</v>
      </c>
      <c r="C32" s="164"/>
      <c r="D32" s="164"/>
      <c r="E32" s="164"/>
      <c r="F32" s="164"/>
      <c r="G32" s="166"/>
      <c r="H32" s="164"/>
      <c r="I32" s="163"/>
    </row>
    <row r="33" spans="1:9" ht="21">
      <c r="A33" s="162"/>
      <c r="B33" s="94" t="s">
        <v>507</v>
      </c>
      <c r="C33" s="164">
        <v>46228</v>
      </c>
      <c r="D33" s="164">
        <v>0</v>
      </c>
      <c r="E33" s="164">
        <v>46228</v>
      </c>
      <c r="F33" s="164">
        <v>46228</v>
      </c>
      <c r="G33" s="166">
        <v>0</v>
      </c>
      <c r="H33" s="164"/>
      <c r="I33" s="162" t="s">
        <v>467</v>
      </c>
    </row>
    <row r="34" spans="1:9" ht="21">
      <c r="A34" s="162" t="s">
        <v>510</v>
      </c>
      <c r="B34" s="171" t="s">
        <v>28</v>
      </c>
      <c r="C34" s="164"/>
      <c r="D34" s="164"/>
      <c r="E34" s="164"/>
      <c r="F34" s="164"/>
      <c r="G34" s="166"/>
      <c r="H34" s="164"/>
      <c r="I34" s="162"/>
    </row>
    <row r="35" spans="1:9" ht="21">
      <c r="A35" s="162"/>
      <c r="B35" s="94" t="s">
        <v>511</v>
      </c>
      <c r="C35" s="164">
        <f>111540+9000</f>
        <v>120540</v>
      </c>
      <c r="D35" s="164">
        <v>0</v>
      </c>
      <c r="E35" s="164">
        <f>111540+9000</f>
        <v>120540</v>
      </c>
      <c r="F35" s="164">
        <f>+C35</f>
        <v>120540</v>
      </c>
      <c r="G35" s="166">
        <v>0</v>
      </c>
      <c r="H35" s="164"/>
      <c r="I35" s="162" t="s">
        <v>467</v>
      </c>
    </row>
    <row r="36" spans="1:9" ht="21">
      <c r="A36" s="162"/>
      <c r="B36" s="94" t="s">
        <v>512</v>
      </c>
      <c r="C36" s="164">
        <v>15040</v>
      </c>
      <c r="D36" s="164">
        <v>0</v>
      </c>
      <c r="E36" s="164">
        <v>15040</v>
      </c>
      <c r="F36" s="164">
        <f>+C36</f>
        <v>15040</v>
      </c>
      <c r="G36" s="166">
        <v>0</v>
      </c>
      <c r="H36" s="164"/>
      <c r="I36" s="162" t="s">
        <v>467</v>
      </c>
    </row>
    <row r="37" spans="1:9" ht="21">
      <c r="A37" s="162"/>
      <c r="B37" s="94" t="s">
        <v>513</v>
      </c>
      <c r="C37" s="164">
        <f>51710+1500</f>
        <v>53210</v>
      </c>
      <c r="D37" s="164">
        <v>0</v>
      </c>
      <c r="E37" s="164">
        <f>51710+1500</f>
        <v>53210</v>
      </c>
      <c r="F37" s="164">
        <f>+C37</f>
        <v>53210</v>
      </c>
      <c r="G37" s="166">
        <v>0</v>
      </c>
      <c r="H37" s="164"/>
      <c r="I37" s="162" t="s">
        <v>467</v>
      </c>
    </row>
    <row r="38" spans="1:9" ht="21">
      <c r="A38" s="162"/>
      <c r="B38" s="94" t="s">
        <v>514</v>
      </c>
      <c r="C38" s="164">
        <f>35770+1500</f>
        <v>37270</v>
      </c>
      <c r="D38" s="164">
        <v>0</v>
      </c>
      <c r="E38" s="164">
        <f>35770+1500</f>
        <v>37270</v>
      </c>
      <c r="F38" s="164">
        <f>+C38</f>
        <v>37270</v>
      </c>
      <c r="G38" s="166">
        <v>0</v>
      </c>
      <c r="H38" s="164"/>
      <c r="I38" s="162" t="s">
        <v>467</v>
      </c>
    </row>
    <row r="39" spans="1:9" ht="21">
      <c r="A39" s="162"/>
      <c r="B39" s="94" t="s">
        <v>515</v>
      </c>
      <c r="C39" s="164">
        <f>62140+5550</f>
        <v>67690</v>
      </c>
      <c r="D39" s="164">
        <v>0</v>
      </c>
      <c r="E39" s="164">
        <f>62140+5550</f>
        <v>67690</v>
      </c>
      <c r="F39" s="164">
        <f>+C39</f>
        <v>67690</v>
      </c>
      <c r="G39" s="166">
        <v>0</v>
      </c>
      <c r="H39" s="164"/>
      <c r="I39" s="162" t="s">
        <v>467</v>
      </c>
    </row>
    <row r="40" spans="1:9" ht="21">
      <c r="A40" s="162"/>
      <c r="B40" s="171" t="s">
        <v>29</v>
      </c>
      <c r="C40" s="164"/>
      <c r="D40" s="164"/>
      <c r="E40" s="164"/>
      <c r="F40" s="164"/>
      <c r="G40" s="166"/>
      <c r="H40" s="164"/>
      <c r="I40" s="162"/>
    </row>
    <row r="41" spans="1:9" ht="21">
      <c r="A41" s="162"/>
      <c r="B41" s="94" t="s">
        <v>516</v>
      </c>
      <c r="C41" s="164">
        <v>23940</v>
      </c>
      <c r="D41" s="164">
        <v>0</v>
      </c>
      <c r="E41" s="164">
        <v>23940</v>
      </c>
      <c r="F41" s="164">
        <v>23940</v>
      </c>
      <c r="G41" s="166">
        <v>0</v>
      </c>
      <c r="H41" s="164"/>
      <c r="I41" s="162" t="s">
        <v>467</v>
      </c>
    </row>
    <row r="42" spans="1:9" ht="21">
      <c r="A42" s="162"/>
      <c r="B42" s="94" t="s">
        <v>517</v>
      </c>
      <c r="C42" s="164">
        <f>11700+1890</f>
        <v>13590</v>
      </c>
      <c r="D42" s="164">
        <v>0</v>
      </c>
      <c r="E42" s="164">
        <f>11700+1890</f>
        <v>13590</v>
      </c>
      <c r="F42" s="164">
        <v>13590</v>
      </c>
      <c r="G42" s="166">
        <v>0</v>
      </c>
      <c r="H42" s="164"/>
      <c r="I42" s="162" t="s">
        <v>467</v>
      </c>
    </row>
    <row r="43" spans="1:9" ht="21">
      <c r="A43" s="162"/>
      <c r="B43" s="171" t="s">
        <v>30</v>
      </c>
      <c r="C43" s="164"/>
      <c r="D43" s="164"/>
      <c r="E43" s="164"/>
      <c r="F43" s="164"/>
      <c r="G43" s="166"/>
      <c r="H43" s="164"/>
      <c r="I43" s="162"/>
    </row>
    <row r="44" spans="1:9" ht="21">
      <c r="A44" s="162"/>
      <c r="B44" s="94" t="s">
        <v>518</v>
      </c>
      <c r="C44" s="164">
        <f>72380+16500</f>
        <v>88880</v>
      </c>
      <c r="D44" s="164">
        <v>0</v>
      </c>
      <c r="E44" s="164">
        <f>72380+16500</f>
        <v>88880</v>
      </c>
      <c r="F44" s="164">
        <f>+C44</f>
        <v>88880</v>
      </c>
      <c r="G44" s="166">
        <v>0</v>
      </c>
      <c r="H44" s="164"/>
      <c r="I44" s="162" t="s">
        <v>467</v>
      </c>
    </row>
    <row r="45" spans="1:9" ht="21">
      <c r="A45" s="162"/>
      <c r="B45" s="94" t="s">
        <v>519</v>
      </c>
      <c r="C45" s="164">
        <f>25840+6980</f>
        <v>32820</v>
      </c>
      <c r="D45" s="164">
        <v>0</v>
      </c>
      <c r="E45" s="164">
        <f>25840+6980</f>
        <v>32820</v>
      </c>
      <c r="F45" s="164">
        <f>+C45</f>
        <v>32820</v>
      </c>
      <c r="G45" s="166">
        <v>0</v>
      </c>
      <c r="H45" s="164"/>
      <c r="I45" s="162" t="s">
        <v>467</v>
      </c>
    </row>
    <row r="46" spans="1:9" ht="21">
      <c r="A46" s="162"/>
      <c r="B46" s="94" t="s">
        <v>520</v>
      </c>
      <c r="C46" s="164">
        <f>90410+19500</f>
        <v>109910</v>
      </c>
      <c r="D46" s="164">
        <v>0</v>
      </c>
      <c r="E46" s="164">
        <f>90410+19500</f>
        <v>109910</v>
      </c>
      <c r="F46" s="164">
        <f>+C46</f>
        <v>109910</v>
      </c>
      <c r="G46" s="166">
        <v>0</v>
      </c>
      <c r="H46" s="164"/>
      <c r="I46" s="162" t="s">
        <v>467</v>
      </c>
    </row>
    <row r="47" spans="1:9" ht="21">
      <c r="A47" s="162"/>
      <c r="B47" s="94" t="s">
        <v>521</v>
      </c>
      <c r="C47" s="164">
        <f>39480+10500</f>
        <v>49980</v>
      </c>
      <c r="D47" s="164">
        <v>0</v>
      </c>
      <c r="E47" s="164">
        <f>39480+10500</f>
        <v>49980</v>
      </c>
      <c r="F47" s="164">
        <f>+C47</f>
        <v>49980</v>
      </c>
      <c r="G47" s="166">
        <v>0</v>
      </c>
      <c r="H47" s="164"/>
      <c r="I47" s="162" t="s">
        <v>467</v>
      </c>
    </row>
    <row r="48" spans="1:9" ht="21">
      <c r="A48" s="162" t="s">
        <v>510</v>
      </c>
      <c r="B48" s="138" t="s">
        <v>504</v>
      </c>
      <c r="C48" s="164"/>
      <c r="D48" s="164"/>
      <c r="E48" s="164"/>
      <c r="F48" s="164"/>
      <c r="G48" s="166"/>
      <c r="H48" s="164"/>
      <c r="I48" s="163"/>
    </row>
    <row r="49" spans="1:9" ht="21">
      <c r="A49" s="162"/>
      <c r="B49" s="94" t="s">
        <v>505</v>
      </c>
      <c r="C49" s="164">
        <v>1448</v>
      </c>
      <c r="D49" s="164">
        <v>0</v>
      </c>
      <c r="E49" s="164">
        <v>1448</v>
      </c>
      <c r="F49" s="164">
        <v>1448</v>
      </c>
      <c r="G49" s="166">
        <v>0</v>
      </c>
      <c r="H49" s="164"/>
      <c r="I49" s="162" t="s">
        <v>467</v>
      </c>
    </row>
    <row r="50" spans="1:9" ht="21">
      <c r="A50" s="162" t="s">
        <v>522</v>
      </c>
      <c r="B50" s="170" t="s">
        <v>504</v>
      </c>
      <c r="C50" s="164"/>
      <c r="D50" s="164"/>
      <c r="E50" s="164"/>
      <c r="F50" s="164"/>
      <c r="G50" s="166"/>
      <c r="H50" s="164"/>
      <c r="I50" s="163"/>
    </row>
    <row r="51" spans="1:9" ht="21">
      <c r="A51" s="162"/>
      <c r="B51" s="163" t="s">
        <v>507</v>
      </c>
      <c r="C51" s="164">
        <v>75311</v>
      </c>
      <c r="D51" s="164">
        <v>0</v>
      </c>
      <c r="E51" s="164">
        <v>75311</v>
      </c>
      <c r="F51" s="164">
        <v>75311</v>
      </c>
      <c r="G51" s="166">
        <v>0</v>
      </c>
      <c r="H51" s="164"/>
      <c r="I51" s="162" t="s">
        <v>467</v>
      </c>
    </row>
    <row r="52" spans="1:9" s="176" customFormat="1" ht="21">
      <c r="A52" s="172"/>
      <c r="B52" s="173"/>
      <c r="C52" s="174"/>
      <c r="D52" s="174"/>
      <c r="E52" s="174"/>
      <c r="F52" s="174"/>
      <c r="G52" s="175"/>
      <c r="H52" s="174"/>
      <c r="I52" s="172"/>
    </row>
    <row r="53" spans="1:9" ht="21">
      <c r="A53" s="162" t="s">
        <v>523</v>
      </c>
      <c r="B53" s="170" t="s">
        <v>28</v>
      </c>
      <c r="C53" s="164"/>
      <c r="D53" s="164"/>
      <c r="E53" s="164"/>
      <c r="F53" s="164"/>
      <c r="G53" s="166"/>
      <c r="H53" s="164"/>
      <c r="I53" s="167" t="s">
        <v>496</v>
      </c>
    </row>
    <row r="54" spans="1:9" ht="21">
      <c r="A54" s="162"/>
      <c r="B54" s="163" t="s">
        <v>511</v>
      </c>
      <c r="C54" s="164">
        <f>111540+200</f>
        <v>111740</v>
      </c>
      <c r="D54" s="164">
        <v>0</v>
      </c>
      <c r="E54" s="164">
        <f>111540+200</f>
        <v>111740</v>
      </c>
      <c r="F54" s="164">
        <f aca="true" t="shared" si="0" ref="F54:F59">+C54</f>
        <v>111740</v>
      </c>
      <c r="G54" s="166">
        <f aca="true" t="shared" si="1" ref="G54:G59">+C54-F54</f>
        <v>0</v>
      </c>
      <c r="H54" s="164"/>
      <c r="I54" s="167" t="s">
        <v>498</v>
      </c>
    </row>
    <row r="55" spans="1:9" ht="21">
      <c r="A55" s="162"/>
      <c r="B55" s="163" t="s">
        <v>512</v>
      </c>
      <c r="C55" s="164">
        <v>15040</v>
      </c>
      <c r="D55" s="164">
        <v>0</v>
      </c>
      <c r="E55" s="164">
        <v>15040</v>
      </c>
      <c r="F55" s="164">
        <f t="shared" si="0"/>
        <v>15040</v>
      </c>
      <c r="G55" s="166">
        <f t="shared" si="1"/>
        <v>0</v>
      </c>
      <c r="H55" s="164"/>
      <c r="I55" s="162" t="s">
        <v>467</v>
      </c>
    </row>
    <row r="56" spans="1:9" ht="21">
      <c r="A56" s="162"/>
      <c r="B56" s="163" t="s">
        <v>513</v>
      </c>
      <c r="C56" s="164">
        <v>51710</v>
      </c>
      <c r="D56" s="164">
        <v>0</v>
      </c>
      <c r="E56" s="164">
        <v>51710</v>
      </c>
      <c r="F56" s="164">
        <f t="shared" si="0"/>
        <v>51710</v>
      </c>
      <c r="G56" s="166">
        <f t="shared" si="1"/>
        <v>0</v>
      </c>
      <c r="H56" s="164"/>
      <c r="I56" s="162" t="s">
        <v>467</v>
      </c>
    </row>
    <row r="57" spans="1:9" ht="21">
      <c r="A57" s="162"/>
      <c r="B57" s="163" t="s">
        <v>524</v>
      </c>
      <c r="C57" s="164">
        <v>14292</v>
      </c>
      <c r="D57" s="164">
        <v>0</v>
      </c>
      <c r="E57" s="164">
        <v>14292</v>
      </c>
      <c r="F57" s="164">
        <f t="shared" si="0"/>
        <v>14292</v>
      </c>
      <c r="G57" s="166">
        <f t="shared" si="1"/>
        <v>0</v>
      </c>
      <c r="H57" s="164"/>
      <c r="I57" s="162" t="s">
        <v>467</v>
      </c>
    </row>
    <row r="58" spans="1:9" ht="21">
      <c r="A58" s="162"/>
      <c r="B58" s="163" t="s">
        <v>514</v>
      </c>
      <c r="C58" s="164">
        <v>35770</v>
      </c>
      <c r="D58" s="164">
        <v>0</v>
      </c>
      <c r="E58" s="164">
        <v>35770</v>
      </c>
      <c r="F58" s="164">
        <f t="shared" si="0"/>
        <v>35770</v>
      </c>
      <c r="G58" s="166">
        <f t="shared" si="1"/>
        <v>0</v>
      </c>
      <c r="H58" s="164"/>
      <c r="I58" s="162" t="s">
        <v>467</v>
      </c>
    </row>
    <row r="59" spans="1:9" ht="21">
      <c r="A59" s="162"/>
      <c r="B59" s="163" t="s">
        <v>515</v>
      </c>
      <c r="C59" s="164">
        <v>62140</v>
      </c>
      <c r="D59" s="164">
        <v>0</v>
      </c>
      <c r="E59" s="164">
        <v>62140</v>
      </c>
      <c r="F59" s="164">
        <f t="shared" si="0"/>
        <v>62140</v>
      </c>
      <c r="G59" s="166">
        <f t="shared" si="1"/>
        <v>0</v>
      </c>
      <c r="H59" s="164"/>
      <c r="I59" s="162" t="s">
        <v>467</v>
      </c>
    </row>
    <row r="60" spans="1:9" ht="21">
      <c r="A60" s="162"/>
      <c r="B60" s="170" t="s">
        <v>29</v>
      </c>
      <c r="C60" s="164"/>
      <c r="D60" s="164"/>
      <c r="E60" s="164"/>
      <c r="F60" s="164"/>
      <c r="G60" s="166"/>
      <c r="H60" s="164"/>
      <c r="I60" s="163"/>
    </row>
    <row r="61" spans="1:9" ht="21">
      <c r="A61" s="162"/>
      <c r="B61" s="163" t="s">
        <v>525</v>
      </c>
      <c r="C61" s="164">
        <v>610</v>
      </c>
      <c r="D61" s="164">
        <v>0</v>
      </c>
      <c r="E61" s="164">
        <v>610</v>
      </c>
      <c r="F61" s="164">
        <v>610</v>
      </c>
      <c r="G61" s="166">
        <v>0</v>
      </c>
      <c r="H61" s="164"/>
      <c r="I61" s="162" t="s">
        <v>467</v>
      </c>
    </row>
    <row r="62" spans="1:9" ht="21">
      <c r="A62" s="162"/>
      <c r="B62" s="163" t="s">
        <v>526</v>
      </c>
      <c r="C62" s="164">
        <v>23940</v>
      </c>
      <c r="D62" s="164">
        <v>0</v>
      </c>
      <c r="E62" s="164">
        <v>23940</v>
      </c>
      <c r="F62" s="164">
        <v>23940</v>
      </c>
      <c r="G62" s="166">
        <v>0</v>
      </c>
      <c r="H62" s="164"/>
      <c r="I62" s="162" t="s">
        <v>467</v>
      </c>
    </row>
    <row r="63" spans="1:9" ht="21">
      <c r="A63" s="162"/>
      <c r="B63" s="163" t="s">
        <v>527</v>
      </c>
      <c r="C63" s="164">
        <v>256</v>
      </c>
      <c r="D63" s="164">
        <v>0</v>
      </c>
      <c r="E63" s="164">
        <v>256</v>
      </c>
      <c r="F63" s="164">
        <v>256</v>
      </c>
      <c r="G63" s="166">
        <v>0</v>
      </c>
      <c r="H63" s="164"/>
      <c r="I63" s="162" t="s">
        <v>467</v>
      </c>
    </row>
    <row r="64" spans="1:9" ht="21">
      <c r="A64" s="162"/>
      <c r="B64" s="163" t="s">
        <v>517</v>
      </c>
      <c r="C64" s="164">
        <v>11700</v>
      </c>
      <c r="D64" s="164">
        <v>0</v>
      </c>
      <c r="E64" s="164">
        <v>11700</v>
      </c>
      <c r="F64" s="164">
        <v>11700</v>
      </c>
      <c r="G64" s="166">
        <v>0</v>
      </c>
      <c r="H64" s="164"/>
      <c r="I64" s="162" t="s">
        <v>467</v>
      </c>
    </row>
    <row r="65" spans="1:9" ht="21">
      <c r="A65" s="162"/>
      <c r="B65" s="170" t="s">
        <v>30</v>
      </c>
      <c r="C65" s="164"/>
      <c r="D65" s="164"/>
      <c r="E65" s="164"/>
      <c r="F65" s="164"/>
      <c r="G65" s="166"/>
      <c r="H65" s="164"/>
      <c r="I65" s="162"/>
    </row>
    <row r="66" spans="1:9" ht="21">
      <c r="A66" s="162"/>
      <c r="B66" s="163" t="s">
        <v>528</v>
      </c>
      <c r="C66" s="164">
        <v>72380</v>
      </c>
      <c r="D66" s="164">
        <v>0</v>
      </c>
      <c r="E66" s="164">
        <v>72380</v>
      </c>
      <c r="F66" s="164">
        <f>+C66</f>
        <v>72380</v>
      </c>
      <c r="G66" s="166">
        <f>+C66-F66</f>
        <v>0</v>
      </c>
      <c r="H66" s="164"/>
      <c r="I66" s="162" t="s">
        <v>467</v>
      </c>
    </row>
    <row r="67" spans="1:9" ht="21">
      <c r="A67" s="162"/>
      <c r="B67" s="163" t="s">
        <v>519</v>
      </c>
      <c r="C67" s="164">
        <v>16400</v>
      </c>
      <c r="D67" s="164">
        <v>0</v>
      </c>
      <c r="E67" s="164">
        <v>16400</v>
      </c>
      <c r="F67" s="164">
        <f>+C67</f>
        <v>16400</v>
      </c>
      <c r="G67" s="166">
        <f>+C67-F67</f>
        <v>0</v>
      </c>
      <c r="H67" s="164"/>
      <c r="I67" s="162" t="s">
        <v>467</v>
      </c>
    </row>
    <row r="68" spans="1:9" ht="21">
      <c r="A68" s="162"/>
      <c r="B68" s="163" t="s">
        <v>529</v>
      </c>
      <c r="C68" s="164">
        <v>13400</v>
      </c>
      <c r="D68" s="164">
        <v>0</v>
      </c>
      <c r="E68" s="164">
        <v>13400</v>
      </c>
      <c r="F68" s="164">
        <f>+C68</f>
        <v>13400</v>
      </c>
      <c r="G68" s="166">
        <f>+C68-F68</f>
        <v>0</v>
      </c>
      <c r="H68" s="164"/>
      <c r="I68" s="162" t="s">
        <v>467</v>
      </c>
    </row>
    <row r="69" spans="1:9" ht="21">
      <c r="A69" s="162"/>
      <c r="B69" s="163" t="s">
        <v>520</v>
      </c>
      <c r="C69" s="164">
        <v>90410</v>
      </c>
      <c r="D69" s="164">
        <v>0</v>
      </c>
      <c r="E69" s="164">
        <v>90410</v>
      </c>
      <c r="F69" s="164">
        <f>+C69</f>
        <v>90410</v>
      </c>
      <c r="G69" s="166">
        <f>+C69-F69</f>
        <v>0</v>
      </c>
      <c r="H69" s="164"/>
      <c r="I69" s="162" t="s">
        <v>467</v>
      </c>
    </row>
    <row r="70" spans="1:9" ht="21">
      <c r="A70" s="162"/>
      <c r="B70" s="163" t="s">
        <v>521</v>
      </c>
      <c r="C70" s="164">
        <v>39480</v>
      </c>
      <c r="D70" s="164">
        <v>0</v>
      </c>
      <c r="E70" s="164">
        <v>39480</v>
      </c>
      <c r="F70" s="164">
        <f>+C70</f>
        <v>39480</v>
      </c>
      <c r="G70" s="166">
        <f>+C70-F70</f>
        <v>0</v>
      </c>
      <c r="H70" s="164"/>
      <c r="I70" s="162" t="s">
        <v>467</v>
      </c>
    </row>
    <row r="71" spans="1:9" ht="21">
      <c r="A71" s="162"/>
      <c r="B71" s="170" t="s">
        <v>504</v>
      </c>
      <c r="C71" s="164"/>
      <c r="D71" s="164"/>
      <c r="E71" s="164"/>
      <c r="F71" s="164"/>
      <c r="G71" s="166"/>
      <c r="H71" s="164"/>
      <c r="I71" s="163"/>
    </row>
    <row r="72" spans="1:9" ht="21">
      <c r="A72" s="162"/>
      <c r="B72" s="163" t="s">
        <v>505</v>
      </c>
      <c r="C72" s="164">
        <v>1448</v>
      </c>
      <c r="D72" s="164">
        <v>0</v>
      </c>
      <c r="E72" s="164">
        <v>1448</v>
      </c>
      <c r="F72" s="164">
        <v>1448</v>
      </c>
      <c r="G72" s="166">
        <v>0</v>
      </c>
      <c r="H72" s="164"/>
      <c r="I72" s="162" t="s">
        <v>467</v>
      </c>
    </row>
    <row r="73" spans="1:9" ht="21">
      <c r="A73" s="162"/>
      <c r="B73" s="170"/>
      <c r="C73" s="164"/>
      <c r="D73" s="164"/>
      <c r="E73" s="164"/>
      <c r="F73" s="164"/>
      <c r="G73" s="166"/>
      <c r="H73" s="164"/>
      <c r="I73" s="162"/>
    </row>
    <row r="74" spans="1:9" ht="21">
      <c r="A74" s="162"/>
      <c r="B74" s="170"/>
      <c r="C74" s="164"/>
      <c r="D74" s="164"/>
      <c r="E74" s="164"/>
      <c r="F74" s="164"/>
      <c r="G74" s="166"/>
      <c r="H74" s="164"/>
      <c r="I74" s="162"/>
    </row>
    <row r="75" spans="1:9" ht="21">
      <c r="A75" s="162"/>
      <c r="B75" s="170"/>
      <c r="C75" s="164"/>
      <c r="D75" s="164"/>
      <c r="E75" s="164"/>
      <c r="F75" s="164"/>
      <c r="G75" s="166"/>
      <c r="H75" s="164"/>
      <c r="I75" s="163"/>
    </row>
    <row r="76" spans="1:9" ht="21">
      <c r="A76" s="162"/>
      <c r="B76" s="163"/>
      <c r="C76" s="164"/>
      <c r="D76" s="164"/>
      <c r="E76" s="164"/>
      <c r="F76" s="164"/>
      <c r="G76" s="166"/>
      <c r="H76" s="164"/>
      <c r="I76" s="163"/>
    </row>
    <row r="77" spans="1:9" s="79" customFormat="1" ht="21">
      <c r="A77" s="527" t="s">
        <v>11</v>
      </c>
      <c r="B77" s="528"/>
      <c r="C77" s="148">
        <f>SUM(C8:C76)</f>
        <v>3955726</v>
      </c>
      <c r="D77" s="148">
        <f>SUM(D8:D76)</f>
        <v>0</v>
      </c>
      <c r="E77" s="148">
        <f>SUM(E8:E76)</f>
        <v>3949111</v>
      </c>
      <c r="F77" s="148">
        <f>SUM(F8:F76)</f>
        <v>3949111</v>
      </c>
      <c r="G77" s="148">
        <f>SUM(G8:G76)</f>
        <v>6615</v>
      </c>
      <c r="H77" s="148">
        <f>SUM(H26:H76)</f>
        <v>0</v>
      </c>
      <c r="I77" s="149"/>
    </row>
    <row r="80" ht="21">
      <c r="F80" s="140">
        <f>+F77-3949111</f>
        <v>0</v>
      </c>
    </row>
  </sheetData>
  <mergeCells count="6">
    <mergeCell ref="A77:B77"/>
    <mergeCell ref="C5:D5"/>
    <mergeCell ref="A1:I1"/>
    <mergeCell ref="A2:I2"/>
    <mergeCell ref="A3:I3"/>
    <mergeCell ref="A4:I4"/>
  </mergeCells>
  <printOptions/>
  <pageMargins left="0.17" right="0.19" top="0.44" bottom="0.23" header="0.22" footer="0.19"/>
  <pageSetup horizontalDpi="600" verticalDpi="600" orientation="landscape" paperSize="9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B1">
      <selection activeCell="C8" sqref="C8"/>
    </sheetView>
  </sheetViews>
  <sheetFormatPr defaultColWidth="9.140625" defaultRowHeight="21.75"/>
  <cols>
    <col min="1" max="1" width="33.7109375" style="16" customWidth="1"/>
    <col min="2" max="2" width="21.7109375" style="16" customWidth="1"/>
    <col min="3" max="3" width="18.7109375" style="16" customWidth="1"/>
    <col min="4" max="4" width="23.8515625" style="16" customWidth="1"/>
    <col min="5" max="5" width="24.140625" style="16" customWidth="1"/>
    <col min="6" max="6" width="21.140625" style="16" customWidth="1"/>
    <col min="7" max="16384" width="9.140625" style="16" customWidth="1"/>
  </cols>
  <sheetData>
    <row r="1" spans="1:6" ht="23.25">
      <c r="A1" s="532" t="s">
        <v>153</v>
      </c>
      <c r="B1" s="532"/>
      <c r="C1" s="532"/>
      <c r="D1" s="532"/>
      <c r="E1" s="532"/>
      <c r="F1" s="532"/>
    </row>
    <row r="2" spans="1:6" ht="23.25">
      <c r="A2" s="532" t="s">
        <v>148</v>
      </c>
      <c r="B2" s="532"/>
      <c r="C2" s="532"/>
      <c r="D2" s="532"/>
      <c r="E2" s="532"/>
      <c r="F2" s="532"/>
    </row>
    <row r="3" spans="1:6" ht="23.25">
      <c r="A3" s="532" t="s">
        <v>196</v>
      </c>
      <c r="B3" s="532"/>
      <c r="C3" s="532"/>
      <c r="D3" s="532"/>
      <c r="E3" s="532"/>
      <c r="F3" s="532"/>
    </row>
    <row r="4" spans="1:6" ht="12" customHeight="1">
      <c r="A4" s="17"/>
      <c r="B4" s="17"/>
      <c r="C4" s="17"/>
      <c r="D4" s="17"/>
      <c r="E4" s="17"/>
      <c r="F4" s="17"/>
    </row>
    <row r="5" spans="1:6" s="20" customFormat="1" ht="23.25">
      <c r="A5" s="18" t="s">
        <v>21</v>
      </c>
      <c r="B5" s="19" t="s">
        <v>22</v>
      </c>
      <c r="C5" s="19" t="s">
        <v>11</v>
      </c>
      <c r="D5" s="19" t="s">
        <v>23</v>
      </c>
      <c r="E5" s="19" t="s">
        <v>24</v>
      </c>
      <c r="F5" s="19" t="s">
        <v>25</v>
      </c>
    </row>
    <row r="6" spans="1:6" s="20" customFormat="1" ht="23.25">
      <c r="A6" s="21"/>
      <c r="B6" s="22"/>
      <c r="C6" s="22"/>
      <c r="D6" s="22"/>
      <c r="E6" s="22" t="s">
        <v>26</v>
      </c>
      <c r="F6" s="22"/>
    </row>
    <row r="7" spans="1:6" ht="19.5" customHeight="1">
      <c r="A7" s="23" t="s">
        <v>27</v>
      </c>
      <c r="B7" s="24"/>
      <c r="C7" s="24"/>
      <c r="D7" s="24"/>
      <c r="E7" s="24"/>
      <c r="F7" s="24"/>
    </row>
    <row r="8" spans="1:6" ht="19.5" customHeight="1">
      <c r="A8" s="25" t="s">
        <v>28</v>
      </c>
      <c r="B8" s="26">
        <f>+'[6]จ่ายจากเงินรายรับ ก.ย.'!$B$26+'[6]งบประมาณคงเหลือ ก.ย.'!$B$24+'[6]จ่ายจากเงินรายรับ ก.ย.'!$C$26+'[6]จ่ายจากเงินรายรับ ก.ย.'!$D$26+'[6]งบประมาณคงเหลือ ก.ย.'!$C$24+'[6]งบประมาณคงเหลือ ก.ย.'!$D$24</f>
        <v>2736820</v>
      </c>
      <c r="C8" s="26">
        <f>D8+E8+F8</f>
        <v>2472624</v>
      </c>
      <c r="D8" s="26">
        <f>+'[6]จ่ายจากเงินรายรับ ก.ย.'!$B$26</f>
        <v>1638254</v>
      </c>
      <c r="E8" s="26">
        <v>0</v>
      </c>
      <c r="F8" s="26">
        <f>+'[6]จ่ายจากเงินรายรับ ก.ย.'!$D$26</f>
        <v>834370</v>
      </c>
    </row>
    <row r="9" spans="1:6" ht="19.5" customHeight="1">
      <c r="A9" s="25" t="s">
        <v>29</v>
      </c>
      <c r="B9" s="26">
        <f>+'[6]จ่ายจากเงินรายรับ ก.ย.'!$B$30+'[6]งบประมาณคงเหลือ ก.ย.'!$B$27+'[6]จ่ายจากเงินรายรับ ก.ย.'!$C$30+'[6]จ่ายจากเงินรายรับ ก.ย.'!$D$30+'[6]งบประมาณคงเหลือ ก.ย.'!$C$27+'[6]งบประมาณคงเหลือ ก.ย.'!$D$27</f>
        <v>397264</v>
      </c>
      <c r="C9" s="26">
        <f>D9+E9+F9</f>
        <v>397264</v>
      </c>
      <c r="D9" s="26">
        <f>+'[6]จ่ายจากเงินรายรับ ก.ย.'!$B$30</f>
        <v>271000</v>
      </c>
      <c r="E9" s="26">
        <f>+'[3]จ่ายจากเงินรายรับ ก.ย.'!$C$30</f>
        <v>0</v>
      </c>
      <c r="F9" s="26">
        <f>+'[6]จ่ายจากเงินรายรับ ก.ย.'!$D$30</f>
        <v>126264</v>
      </c>
    </row>
    <row r="10" spans="1:6" ht="19.5" customHeight="1">
      <c r="A10" s="25" t="s">
        <v>30</v>
      </c>
      <c r="B10" s="26">
        <f>+'[6]จ่ายจากเงินรายรับ ก.ย.'!$B$34+'[6]งบประมาณคงเหลือ ก.ย.'!$B$30+'[6]จ่ายจากเงินรายรับ ก.ย.'!$C$34+'[6]จ่ายจากเงินรายรับ ก.ย.'!$D$34+'[6]งบประมาณคงเหลือ ก.ย.'!$C$30+'[6]งบประมาณคงเหลือ ก.ย.'!$D$30</f>
        <v>223960</v>
      </c>
      <c r="C10" s="26">
        <f>D10+E10+F10</f>
        <v>219800</v>
      </c>
      <c r="D10" s="26">
        <f>+'[6]จ่ายจากเงินรายรับ ก.ย.'!$B$34</f>
        <v>144340</v>
      </c>
      <c r="E10" s="26">
        <f>+'[3]จ่ายจากเงินรายรับ ก.ย.'!$C$34</f>
        <v>0</v>
      </c>
      <c r="F10" s="26">
        <f>+'[6]จ่ายจากเงินรายรับ ก.ย.'!$D$34</f>
        <v>75460</v>
      </c>
    </row>
    <row r="11" spans="1:6" ht="19.5" customHeight="1">
      <c r="A11" s="25" t="s">
        <v>31</v>
      </c>
      <c r="B11" s="26">
        <f>+'[6]จ่ายจากเงินรายรับ ก.ย.'!$B$50+'[6]จ่ายจากเงินรายรับ ก.ย.'!$C$50+'[6]จ่ายจากเงินรายรับ ก.ย.'!$D$50+'[6]งบประมาณคงเหลือ ก.ย.'!$B$46+'[6]งบประมาณคงเหลือ ก.ย.'!$C$46+'[6]งบประมาณคงเหลือ ก.ย.'!$D$46</f>
        <v>2425150</v>
      </c>
      <c r="C11" s="26">
        <f aca="true" t="shared" si="0" ref="C11:C18">D11+E11+F11</f>
        <v>2374628</v>
      </c>
      <c r="D11" s="26">
        <f>+'[6]จ่ายจากเงินรายรับ ก.ย.'!$B$50</f>
        <v>2330635</v>
      </c>
      <c r="E11" s="26">
        <f>+'[3]จ่ายจากเงินรายรับ ก.ย.'!$C$50</f>
        <v>0</v>
      </c>
      <c r="F11" s="26">
        <f>+'[6]จ่ายจากเงินรายรับ ก.ย.'!$D$50</f>
        <v>43993</v>
      </c>
    </row>
    <row r="12" spans="1:6" ht="19.5" customHeight="1">
      <c r="A12" s="25" t="s">
        <v>32</v>
      </c>
      <c r="B12" s="26">
        <f>+'[6]จ่ายจากเงินรายรับ ก.ย.'!$B$58+'[6]งบประมาณคงเหลือ ก.ย.'!$B$53+'[6]จ่ายจากเงินรายรับ ก.ย.'!$C$58+'[6]จ่ายจากเงินรายรับ ก.ย.'!$D$58+'[6]งบประมาณคงเหลือ ก.ย.'!$C$53+'[6]งบประมาณคงเหลือ ก.ย.'!$D$53</f>
        <v>1708000</v>
      </c>
      <c r="C12" s="26">
        <f t="shared" si="0"/>
        <v>1469783.1600000001</v>
      </c>
      <c r="D12" s="26">
        <f>+'[6]จ่ายจากเงินรายรับ ก.ย.'!$B$58</f>
        <v>1151189.1600000001</v>
      </c>
      <c r="E12" s="26">
        <f>+'[6]จ่ายจากเงินรายรับ ก.ย.'!$C$58</f>
        <v>40000</v>
      </c>
      <c r="F12" s="26">
        <f>+'[6]จ่ายจากเงินรายรับ ก.ย.'!$D$58</f>
        <v>278594</v>
      </c>
    </row>
    <row r="13" spans="1:6" ht="19.5" customHeight="1">
      <c r="A13" s="25" t="s">
        <v>49</v>
      </c>
      <c r="B13" s="26">
        <f>+'[6]จ่ายจากเงินรายรับ ก.ย.'!$B$78+'[6]งบประมาณคงเหลือ ก.ย.'!$B$72+'[6]จ่ายจากเงินรายรับ ก.ย.'!$C$78+'[6]จ่ายจากเงินรายรับ ก.ย.'!$D$78+'[6]งบประมาณคงเหลือ ก.ย.'!$C$72+'[6]งบประมาณคงเหลือ ก.ย.'!$D$72</f>
        <v>508800</v>
      </c>
      <c r="C13" s="26">
        <f t="shared" si="0"/>
        <v>357971.58</v>
      </c>
      <c r="D13" s="26">
        <f>+'[6]จ่ายจากเงินรายรับ ก.ย.'!$B$78</f>
        <v>236198.58000000002</v>
      </c>
      <c r="E13" s="26">
        <f>+'[6]จ่ายจากเงินรายรับ ก.ย.'!$C$78</f>
        <v>34090</v>
      </c>
      <c r="F13" s="26">
        <f>+'[6]จ่ายจากเงินรายรับ ก.ย.'!$D$78</f>
        <v>87683</v>
      </c>
    </row>
    <row r="14" spans="1:6" ht="19.5" customHeight="1">
      <c r="A14" s="25" t="s">
        <v>33</v>
      </c>
      <c r="B14" s="26">
        <f>+'[6]จ่ายจากเงินรายรับ ก.ย.'!$B$85+'[6]งบประมาณคงเหลือ ก.ย.'!$B$78+'[6]จ่ายจากเงินรายรับ ก.ย.'!$C$85+'[6]จ่ายจากเงินรายรับ ก.ย.'!$D$85+'[6]งบประมาณคงเหลือ ก.ย.'!$C$78+'[6]งบประมาณคงเหลือ ก.ย.'!$D$78</f>
        <v>525000</v>
      </c>
      <c r="C14" s="26">
        <f t="shared" si="0"/>
        <v>422015.98</v>
      </c>
      <c r="D14" s="145">
        <f>+'[6]จ่ายจากเงินรายรับ ก.ย.'!$B$85</f>
        <v>384074.25</v>
      </c>
      <c r="E14" s="26">
        <f>+'[6]จ่ายจากเงินรายรับ ก.ย.'!$C$85</f>
        <v>14124</v>
      </c>
      <c r="F14" s="26">
        <f>+'[6]จ่ายจากเงินรายรับ ก.ย.'!$D$85</f>
        <v>23817.73</v>
      </c>
    </row>
    <row r="15" spans="1:6" ht="19.5" customHeight="1">
      <c r="A15" s="25" t="s">
        <v>34</v>
      </c>
      <c r="B15" s="26">
        <f>+'[6]จ่ายจากเงินรายรับ ก.ย.'!$B$91+'[6]งบประมาณคงเหลือ ก.ย.'!$B$83+'[6]จ่ายจากเงินรายรับ ก.ย.'!$C$91+'[6]จ่ายจากเงินรายรับ ก.ย.'!$D$91+'[6]งบประมาณคงเหลือ ก.ย.'!$C$83+'[6]งบประมาณคงเหลือ ก.ย.'!$D$83</f>
        <v>65000</v>
      </c>
      <c r="C15" s="26">
        <f t="shared" si="0"/>
        <v>35000</v>
      </c>
      <c r="D15" s="26">
        <f>+'[6]จ่ายจากเงินรายรับ ก.ย.'!$B$91</f>
        <v>35000</v>
      </c>
      <c r="E15" s="26">
        <f>+'[6]จ่ายจากเงินรายรับ ก.ย.'!$C$91</f>
        <v>0</v>
      </c>
      <c r="F15" s="26">
        <f>+'[6]จ่ายจากเงินรายรับ ก.ย.'!$D$91</f>
        <v>0</v>
      </c>
    </row>
    <row r="16" spans="1:6" ht="19.5" customHeight="1">
      <c r="A16" s="27" t="s">
        <v>36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6">
        <v>0</v>
      </c>
    </row>
    <row r="17" spans="1:6" ht="19.5" customHeight="1">
      <c r="A17" s="27" t="s">
        <v>37</v>
      </c>
      <c r="B17" s="26">
        <f>+'[6]จ่ายจากเงินรายรับ ก.ย.'!$B$110+'[6]งบประมาณคงเหลือ ก.ย.'!$B$101+'[6]จ่ายจากเงินรายรับ ก.ย.'!$C$110+'[6]จ่ายจากเงินรายรับ ก.ย.'!$D$110+'[6]งบประมาณคงเหลือ ก.ย.'!$C$101+'[6]งบประมาณคงเหลือ ก.ย.'!$D$101</f>
        <v>2555000</v>
      </c>
      <c r="C17" s="26">
        <f t="shared" si="0"/>
        <v>2533655</v>
      </c>
      <c r="D17" s="26">
        <f>+'[6]จ่ายจากเงินรายรับ ก.ย.'!$B$110</f>
        <v>2512955</v>
      </c>
      <c r="E17" s="26">
        <f>+'[6]จ่ายจากเงินรายรับ ก.ย.'!$C$110</f>
        <v>8200</v>
      </c>
      <c r="F17" s="26">
        <f>+'[6]จ่ายจากเงินรายรับ ก.ย.'!$D$110</f>
        <v>12500</v>
      </c>
    </row>
    <row r="18" spans="1:6" ht="19.5" customHeight="1">
      <c r="A18" s="27" t="s">
        <v>38</v>
      </c>
      <c r="B18" s="26">
        <f>+'[6]จ่ายจากเงินรายรับ ก.ย.'!$B$124+'[6]งบประมาณคงเหลือ ก.ย.'!$B$114+'[6]จ่ายจากเงินรายรับ ก.ย.'!$C$124+'[6]จ่ายจากเงินรายรับ ก.ย.'!$D$124+'[6]งบประมาณคงเหลือ ก.ย.'!$C$114+'[6]งบประมาณคงเหลือ ก.ย.'!$D$114</f>
        <v>150000</v>
      </c>
      <c r="C18" s="26">
        <f t="shared" si="0"/>
        <v>149000</v>
      </c>
      <c r="D18" s="26">
        <f>+'[6]จ่ายจากเงินรายรับ ก.ย.'!$B$124</f>
        <v>149000</v>
      </c>
      <c r="E18" s="26">
        <f>+'[6]จ่ายจากเงินรายรับ ก.ย.'!$C$124</f>
        <v>0</v>
      </c>
      <c r="F18" s="26">
        <f>+'[5]จ่ายจากเงินรายรับ พ.ค.'!$D$124</f>
        <v>0</v>
      </c>
    </row>
    <row r="19" spans="1:6" ht="19.5" customHeight="1">
      <c r="A19" s="28" t="s">
        <v>11</v>
      </c>
      <c r="B19" s="29">
        <f>SUM(B8:B18)</f>
        <v>11294994</v>
      </c>
      <c r="C19" s="29">
        <f>SUM(C8:C18)</f>
        <v>10431741.72</v>
      </c>
      <c r="D19" s="29">
        <f>SUM(D8:D18)</f>
        <v>8852645.99</v>
      </c>
      <c r="E19" s="29">
        <f>SUM(E8:E18)</f>
        <v>96414</v>
      </c>
      <c r="F19" s="29">
        <f>SUM(F8:F18)</f>
        <v>1482681.73</v>
      </c>
    </row>
    <row r="20" spans="1:7" ht="19.5" customHeight="1">
      <c r="A20" s="30" t="s">
        <v>39</v>
      </c>
      <c r="B20" s="31"/>
      <c r="C20" s="31"/>
      <c r="D20" s="31"/>
      <c r="E20" s="31"/>
      <c r="F20" s="31"/>
      <c r="G20" s="32"/>
    </row>
    <row r="21" spans="1:7" ht="19.5" customHeight="1">
      <c r="A21" s="32" t="s">
        <v>84</v>
      </c>
      <c r="B21" s="33"/>
      <c r="C21" s="33"/>
      <c r="D21" s="33"/>
      <c r="E21" s="33"/>
      <c r="F21" s="33"/>
      <c r="G21" s="32"/>
    </row>
    <row r="22" spans="1:6" ht="19.5" customHeight="1">
      <c r="A22" s="16" t="s">
        <v>84</v>
      </c>
      <c r="B22" s="34"/>
      <c r="C22" s="34"/>
      <c r="D22" s="34"/>
      <c r="E22" s="34"/>
      <c r="F22" s="34"/>
    </row>
    <row r="23" spans="1:6" ht="19.5" customHeight="1">
      <c r="A23" s="17" t="s">
        <v>11</v>
      </c>
      <c r="B23" s="35"/>
      <c r="C23" s="35"/>
      <c r="D23" s="35"/>
      <c r="E23" s="35"/>
      <c r="F23" s="35"/>
    </row>
    <row r="24" ht="12.75" customHeight="1"/>
    <row r="25" spans="1:2" ht="23.25">
      <c r="A25" s="36"/>
      <c r="B25" s="20"/>
    </row>
    <row r="26" spans="1:2" ht="23.25">
      <c r="A26" s="20"/>
      <c r="B26" s="20"/>
    </row>
  </sheetData>
  <mergeCells count="3">
    <mergeCell ref="A1:F1"/>
    <mergeCell ref="A2:F2"/>
    <mergeCell ref="A3:F3"/>
  </mergeCells>
  <printOptions/>
  <pageMargins left="0.7086614173228347" right="0.5511811023622047" top="0.3937007874015748" bottom="0.3937007874015748" header="0.2362204724409449" footer="0.275590551181102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B1">
      <selection activeCell="F20" sqref="F20"/>
    </sheetView>
  </sheetViews>
  <sheetFormatPr defaultColWidth="9.140625" defaultRowHeight="21.75"/>
  <cols>
    <col min="1" max="1" width="33.7109375" style="16" customWidth="1"/>
    <col min="2" max="2" width="17.8515625" style="16" customWidth="1"/>
    <col min="3" max="3" width="21.140625" style="16" customWidth="1"/>
    <col min="4" max="4" width="29.28125" style="16" customWidth="1"/>
    <col min="5" max="5" width="19.00390625" style="16" customWidth="1"/>
    <col min="6" max="6" width="22.8515625" style="16" customWidth="1"/>
    <col min="7" max="16384" width="9.140625" style="16" customWidth="1"/>
  </cols>
  <sheetData>
    <row r="1" spans="1:6" ht="23.25">
      <c r="A1" s="532" t="s">
        <v>153</v>
      </c>
      <c r="B1" s="532"/>
      <c r="C1" s="532"/>
      <c r="D1" s="532"/>
      <c r="E1" s="532"/>
      <c r="F1" s="532"/>
    </row>
    <row r="2" spans="1:6" ht="23.25">
      <c r="A2" s="532" t="s">
        <v>149</v>
      </c>
      <c r="B2" s="532"/>
      <c r="C2" s="532"/>
      <c r="D2" s="532"/>
      <c r="E2" s="532"/>
      <c r="F2" s="532"/>
    </row>
    <row r="3" spans="1:6" ht="23.25">
      <c r="A3" s="532" t="s">
        <v>196</v>
      </c>
      <c r="B3" s="532"/>
      <c r="C3" s="532"/>
      <c r="D3" s="532"/>
      <c r="E3" s="532"/>
      <c r="F3" s="532"/>
    </row>
    <row r="4" spans="1:6" ht="6" customHeight="1">
      <c r="A4" s="17"/>
      <c r="B4" s="17"/>
      <c r="C4" s="17"/>
      <c r="D4" s="17"/>
      <c r="E4" s="17"/>
      <c r="F4" s="17"/>
    </row>
    <row r="5" spans="1:4" ht="6.75" customHeight="1">
      <c r="A5" s="20"/>
      <c r="B5" s="20"/>
      <c r="C5" s="20"/>
      <c r="D5" s="20"/>
    </row>
    <row r="6" spans="1:6" ht="23.25">
      <c r="A6" s="18" t="s">
        <v>21</v>
      </c>
      <c r="B6" s="19" t="s">
        <v>22</v>
      </c>
      <c r="C6" s="19" t="s">
        <v>11</v>
      </c>
      <c r="D6" s="19" t="s">
        <v>44</v>
      </c>
      <c r="E6" s="19" t="s">
        <v>45</v>
      </c>
      <c r="F6" s="19" t="s">
        <v>46</v>
      </c>
    </row>
    <row r="7" spans="1:6" ht="23.25">
      <c r="A7" s="21"/>
      <c r="B7" s="22"/>
      <c r="C7" s="22"/>
      <c r="D7" s="22" t="s">
        <v>47</v>
      </c>
      <c r="E7" s="22"/>
      <c r="F7" s="22" t="s">
        <v>48</v>
      </c>
    </row>
    <row r="8" spans="1:6" ht="23.25">
      <c r="A8" s="23" t="s">
        <v>27</v>
      </c>
      <c r="B8" s="31"/>
      <c r="C8" s="24"/>
      <c r="D8" s="24"/>
      <c r="E8" s="24"/>
      <c r="F8" s="24"/>
    </row>
    <row r="9" spans="1:6" ht="20.25" customHeight="1">
      <c r="A9" s="25" t="s">
        <v>28</v>
      </c>
      <c r="B9" s="26">
        <f>+'[6]จ่ายจากเงินรายรับ ก.ย.'!$E$26+'[6]งบประมาณคงเหลือ ก.ย.'!$E$24</f>
        <v>185000</v>
      </c>
      <c r="C9" s="26">
        <f>D9+E9+F9</f>
        <v>148300</v>
      </c>
      <c r="D9" s="26">
        <f>+'[6]จ่ายจากเงินรายรับ ก.ย.'!$E$26</f>
        <v>148300</v>
      </c>
      <c r="E9" s="26">
        <v>0</v>
      </c>
      <c r="F9" s="26">
        <v>0</v>
      </c>
    </row>
    <row r="10" spans="1:6" ht="20.25" customHeight="1">
      <c r="A10" s="25" t="s">
        <v>29</v>
      </c>
      <c r="B10" s="26">
        <f>+'[6]จ่ายจากเงินรายรับ ก.ย.'!$E$30+'[6]งบประมาณคงเหลือ ก.ย.'!$E$27</f>
        <v>287500</v>
      </c>
      <c r="C10" s="26">
        <f aca="true" t="shared" si="0" ref="C10:C19">D10+E10+F10</f>
        <v>236580</v>
      </c>
      <c r="D10" s="26">
        <f>+'[6]จ่ายจากเงินรายรับ ก.ย.'!$E$30</f>
        <v>236580</v>
      </c>
      <c r="E10" s="26">
        <v>0</v>
      </c>
      <c r="F10" s="26">
        <f>+'[3]จ่ายจากเงินรายรับ ก.ย.'!$F$30</f>
        <v>0</v>
      </c>
    </row>
    <row r="11" spans="1:6" ht="20.25" customHeight="1">
      <c r="A11" s="25" t="s">
        <v>30</v>
      </c>
      <c r="B11" s="26">
        <f>+'[6]จ่ายจากเงินรายรับ ก.ย.'!$E$34+'[6]งบประมาณคงเหลือ ก.ย.'!$E$30</f>
        <v>895020</v>
      </c>
      <c r="C11" s="26">
        <f t="shared" si="0"/>
        <v>664085</v>
      </c>
      <c r="D11" s="26">
        <f>+'[6]จ่ายจากเงินรายรับ ก.ย.'!$E$34</f>
        <v>664085</v>
      </c>
      <c r="E11" s="26">
        <v>0</v>
      </c>
      <c r="F11" s="26">
        <f>+'[3]จ่ายจากเงินรายรับ ก.ย.'!$F$34</f>
        <v>0</v>
      </c>
    </row>
    <row r="12" spans="1:6" ht="20.25" customHeight="1">
      <c r="A12" s="25" t="s">
        <v>31</v>
      </c>
      <c r="B12" s="26">
        <f>+'[6]จ่ายจากเงินรายรับ ก.ย.'!$E$50+'[6]งบประมาณคงเหลือ ก.ย.'!$E$46</f>
        <v>96550</v>
      </c>
      <c r="C12" s="26">
        <f t="shared" si="0"/>
        <v>82217</v>
      </c>
      <c r="D12" s="26">
        <f>+'[6]จ่ายจากเงินรายรับ ก.ย.'!$E$50</f>
        <v>82217</v>
      </c>
      <c r="E12" s="26">
        <v>0</v>
      </c>
      <c r="F12" s="26">
        <f>+'[3]จ่ายจากเงินรายรับ ก.ย.'!$F$50</f>
        <v>0</v>
      </c>
    </row>
    <row r="13" spans="1:6" ht="20.25" customHeight="1">
      <c r="A13" s="25" t="s">
        <v>32</v>
      </c>
      <c r="B13" s="26">
        <f>+'[6]จ่ายจากเงินรายรับ ก.ย.'!$E$58+'[6]งบประมาณคงเหลือ ก.ย.'!$E$53+'[6]จ่ายจากเงินรายรับ ก.ย.'!$F$58+'[6]งบประมาณคงเหลือ ก.ย.'!$F$53</f>
        <v>305000</v>
      </c>
      <c r="C13" s="26">
        <f t="shared" si="0"/>
        <v>221397</v>
      </c>
      <c r="D13" s="26">
        <f>+'[6]จ่ายจากเงินรายรับ ก.ย.'!$E$58</f>
        <v>211397</v>
      </c>
      <c r="E13" s="26">
        <v>0</v>
      </c>
      <c r="F13" s="26">
        <f>+'[6]จ่ายจากเงินรายรับ ก.ย.'!$F$58</f>
        <v>10000</v>
      </c>
    </row>
    <row r="14" spans="1:6" ht="20.25" customHeight="1">
      <c r="A14" s="25" t="s">
        <v>49</v>
      </c>
      <c r="B14" s="26">
        <f>+'[6]จ่ายจากเงินรายรับ ก.ย.'!$E$78+'[6]จ่ายจากเงินรายรับ ก.ย.'!$F$78+'[6]งบประมาณคงเหลือ ก.ย.'!$E$72+'[6]งบประมาณคงเหลือ ก.ย.'!$F$72</f>
        <v>953900</v>
      </c>
      <c r="C14" s="26">
        <f t="shared" si="0"/>
        <v>890765.4400000001</v>
      </c>
      <c r="D14" s="26">
        <f>+'[6]จ่ายจากเงินรายรับ ก.ย.'!$E$78</f>
        <v>511773.94000000006</v>
      </c>
      <c r="E14" s="26">
        <v>0</v>
      </c>
      <c r="F14" s="26">
        <f>+'[6]จ่ายจากเงินรายรับ ก.ย.'!$F$78</f>
        <v>378991.5</v>
      </c>
    </row>
    <row r="15" spans="1:6" ht="20.25" customHeight="1">
      <c r="A15" s="25" t="s">
        <v>33</v>
      </c>
      <c r="B15" s="26">
        <f>+'[6]จ่ายจากเงินรายรับ ก.ย.'!$E$85+'[6]งบประมาณคงเหลือ ก.ย.'!$E$78</f>
        <v>80000</v>
      </c>
      <c r="C15" s="26">
        <f t="shared" si="0"/>
        <v>70492.5</v>
      </c>
      <c r="D15" s="26">
        <f>+'[6]จ่ายจากเงินรายรับ ก.ย.'!$E$85</f>
        <v>70492.5</v>
      </c>
      <c r="E15" s="26">
        <v>0</v>
      </c>
      <c r="F15" s="26">
        <f>+'[6]จ่ายจากเงินรายรับ ก.ย.'!$F$85</f>
        <v>0</v>
      </c>
    </row>
    <row r="16" spans="1:6" ht="20.25" customHeight="1">
      <c r="A16" s="25" t="s">
        <v>34</v>
      </c>
      <c r="B16" s="26">
        <f>+'[5]จ่ายจากเงินรายรับ พ.ค.'!$E$91+'[5]งบประมาณคงเหลือ พ.ค.'!$E$83</f>
        <v>0</v>
      </c>
      <c r="C16" s="26">
        <f t="shared" si="0"/>
        <v>0</v>
      </c>
      <c r="D16" s="26">
        <f>+'[5]จ่ายจากเงินรายรับ พ.ค.'!$E$91</f>
        <v>0</v>
      </c>
      <c r="E16" s="26">
        <v>0</v>
      </c>
      <c r="F16" s="26">
        <f>+'[6]จ่ายจากเงินรายรับ ก.ย.'!$F$91</f>
        <v>0</v>
      </c>
    </row>
    <row r="17" spans="1:6" ht="20.25" customHeight="1">
      <c r="A17" s="27" t="s">
        <v>36</v>
      </c>
      <c r="B17" s="26">
        <v>0</v>
      </c>
      <c r="C17" s="26">
        <f t="shared" si="0"/>
        <v>0</v>
      </c>
      <c r="D17" s="26">
        <v>0</v>
      </c>
      <c r="E17" s="26">
        <v>0</v>
      </c>
      <c r="F17" s="26">
        <v>0</v>
      </c>
    </row>
    <row r="18" spans="1:6" ht="20.25" customHeight="1">
      <c r="A18" s="27" t="s">
        <v>37</v>
      </c>
      <c r="B18" s="26">
        <f>+'[6]จ่ายจากเงินรายรับ ก.ย.'!$E$110+'[6]จ่ายจากเงินรายรับ ก.ย.'!$F$110+'[6]งบประมาณคงเหลือ ก.ย.'!$E$101+'[6]งบประมาณคงเหลือ ก.ย.'!$F$101</f>
        <v>311000</v>
      </c>
      <c r="C18" s="26">
        <f t="shared" si="0"/>
        <v>296733.3</v>
      </c>
      <c r="D18" s="26">
        <f>+'[6]จ่ายจากเงินรายรับ ก.ย.'!$E$110</f>
        <v>173933.3</v>
      </c>
      <c r="E18" s="26">
        <v>0</v>
      </c>
      <c r="F18" s="26">
        <f>+'[6]จ่ายจากเงินรายรับ ก.ย.'!$F$110</f>
        <v>122800</v>
      </c>
    </row>
    <row r="19" spans="1:6" ht="20.25" customHeight="1">
      <c r="A19" s="27" t="s">
        <v>38</v>
      </c>
      <c r="B19" s="26">
        <f>+'[5]จ่ายจากเงินรายรับ พ.ค.'!$E$124+'[5]จ่ายจากเงินรายรับ พ.ค.'!$F$124+'[5]งบประมาณคงเหลือ พ.ค.'!$E$114+'[5]งบประมาณคงเหลือ พ.ค.'!$F$114</f>
        <v>0</v>
      </c>
      <c r="C19" s="26">
        <f t="shared" si="0"/>
        <v>0</v>
      </c>
      <c r="D19" s="26">
        <f>+'[6]จ่ายจากเงินรายรับ ก.ย.'!$E$124</f>
        <v>0</v>
      </c>
      <c r="E19" s="26">
        <v>0</v>
      </c>
      <c r="F19" s="26">
        <f>+'[6]จ่ายจากเงินรายรับ ก.ย.'!$F$124</f>
        <v>0</v>
      </c>
    </row>
    <row r="20" spans="1:6" ht="20.25" customHeight="1">
      <c r="A20" s="28" t="s">
        <v>11</v>
      </c>
      <c r="B20" s="29">
        <f>SUM(B9:B19)</f>
        <v>3113970</v>
      </c>
      <c r="C20" s="29">
        <f>SUM(C8:C19)</f>
        <v>2610570.2399999998</v>
      </c>
      <c r="D20" s="29">
        <f>SUM(D8:D19)</f>
        <v>2098778.7399999998</v>
      </c>
      <c r="E20" s="29">
        <f>SUM(E8:E19)</f>
        <v>0</v>
      </c>
      <c r="F20" s="29">
        <f>SUM(F8:F19)</f>
        <v>511791.5</v>
      </c>
    </row>
    <row r="21" spans="1:7" ht="20.25" customHeight="1">
      <c r="A21" s="30" t="s">
        <v>39</v>
      </c>
      <c r="B21" s="31"/>
      <c r="C21" s="24"/>
      <c r="D21" s="24"/>
      <c r="E21" s="24"/>
      <c r="F21" s="24"/>
      <c r="G21" s="32"/>
    </row>
    <row r="22" spans="1:7" ht="18.75" customHeight="1">
      <c r="A22" s="32" t="s">
        <v>84</v>
      </c>
      <c r="B22" s="33"/>
      <c r="C22" s="26"/>
      <c r="D22" s="26"/>
      <c r="E22" s="26"/>
      <c r="F22" s="26"/>
      <c r="G22" s="32"/>
    </row>
    <row r="23" spans="1:6" ht="18.75" customHeight="1">
      <c r="A23" s="16" t="s">
        <v>84</v>
      </c>
      <c r="B23" s="34"/>
      <c r="C23" s="37"/>
      <c r="D23" s="37"/>
      <c r="E23" s="37"/>
      <c r="F23" s="37"/>
    </row>
    <row r="24" spans="1:6" ht="20.25" customHeight="1">
      <c r="A24" s="17" t="s">
        <v>11</v>
      </c>
      <c r="B24" s="35"/>
      <c r="C24" s="29"/>
      <c r="D24" s="29"/>
      <c r="E24" s="29"/>
      <c r="F24" s="29"/>
    </row>
    <row r="25" ht="12.75" customHeight="1"/>
    <row r="26" spans="1:2" ht="21.75" customHeight="1">
      <c r="A26" s="36" t="s">
        <v>41</v>
      </c>
      <c r="B26" s="20" t="s">
        <v>42</v>
      </c>
    </row>
    <row r="27" spans="1:2" ht="21.75" customHeight="1">
      <c r="A27" s="20"/>
      <c r="B27" s="20" t="s">
        <v>43</v>
      </c>
    </row>
  </sheetData>
  <mergeCells count="3">
    <mergeCell ref="A1:F1"/>
    <mergeCell ref="A2:F2"/>
    <mergeCell ref="A3:F3"/>
  </mergeCells>
  <printOptions/>
  <pageMargins left="0.7086614173228347" right="0.5511811023622047" top="0.3937007874015748" bottom="0.3937007874015748" header="0.2362204724409449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B2">
      <selection activeCell="G19" sqref="G19"/>
    </sheetView>
  </sheetViews>
  <sheetFormatPr defaultColWidth="9.140625" defaultRowHeight="21.75"/>
  <cols>
    <col min="1" max="1" width="33.7109375" style="64" customWidth="1"/>
    <col min="2" max="2" width="17.8515625" style="64" customWidth="1"/>
    <col min="3" max="3" width="16.7109375" style="64" customWidth="1"/>
    <col min="4" max="4" width="20.8515625" style="64" customWidth="1"/>
    <col min="5" max="5" width="18.7109375" style="64" customWidth="1"/>
    <col min="6" max="6" width="16.28125" style="64" customWidth="1"/>
    <col min="7" max="7" width="19.7109375" style="64" customWidth="1"/>
    <col min="8" max="16384" width="9.140625" style="64" customWidth="1"/>
  </cols>
  <sheetData>
    <row r="1" spans="1:7" ht="23.25">
      <c r="A1" s="505" t="s">
        <v>153</v>
      </c>
      <c r="B1" s="505"/>
      <c r="C1" s="505"/>
      <c r="D1" s="505"/>
      <c r="E1" s="505"/>
      <c r="F1" s="505"/>
      <c r="G1" s="505"/>
    </row>
    <row r="2" spans="1:7" ht="23.25">
      <c r="A2" s="505" t="s">
        <v>150</v>
      </c>
      <c r="B2" s="505"/>
      <c r="C2" s="505"/>
      <c r="D2" s="505"/>
      <c r="E2" s="505"/>
      <c r="F2" s="505"/>
      <c r="G2" s="505"/>
    </row>
    <row r="3" spans="1:6" s="16" customFormat="1" ht="23.25">
      <c r="A3" s="532" t="s">
        <v>196</v>
      </c>
      <c r="B3" s="532"/>
      <c r="C3" s="532"/>
      <c r="D3" s="532"/>
      <c r="E3" s="532"/>
      <c r="F3" s="532"/>
    </row>
    <row r="4" spans="1:7" ht="9.75" customHeight="1">
      <c r="A4" s="505"/>
      <c r="B4" s="505"/>
      <c r="C4" s="505"/>
      <c r="D4" s="505"/>
      <c r="E4" s="505"/>
      <c r="F4" s="505"/>
      <c r="G4" s="79"/>
    </row>
    <row r="5" spans="1:7" ht="22.5" customHeight="1">
      <c r="A5" s="125" t="s">
        <v>21</v>
      </c>
      <c r="B5" s="82" t="s">
        <v>22</v>
      </c>
      <c r="C5" s="82" t="s">
        <v>11</v>
      </c>
      <c r="D5" s="82" t="s">
        <v>23</v>
      </c>
      <c r="E5" s="82" t="s">
        <v>50</v>
      </c>
      <c r="F5" s="82" t="s">
        <v>51</v>
      </c>
      <c r="G5" s="82" t="s">
        <v>52</v>
      </c>
    </row>
    <row r="6" spans="1:7" ht="22.5" customHeight="1">
      <c r="A6" s="126"/>
      <c r="B6" s="127"/>
      <c r="C6" s="127"/>
      <c r="D6" s="127" t="s">
        <v>53</v>
      </c>
      <c r="E6" s="127" t="s">
        <v>54</v>
      </c>
      <c r="F6" s="127" t="s">
        <v>55</v>
      </c>
      <c r="G6" s="83" t="s">
        <v>56</v>
      </c>
    </row>
    <row r="7" spans="1:7" ht="23.25">
      <c r="A7" s="128" t="s">
        <v>27</v>
      </c>
      <c r="B7" s="129"/>
      <c r="C7" s="63"/>
      <c r="D7" s="63"/>
      <c r="E7" s="63"/>
      <c r="F7" s="63"/>
      <c r="G7" s="65"/>
    </row>
    <row r="8" spans="1:7" ht="20.25" customHeight="1">
      <c r="A8" s="130" t="s">
        <v>28</v>
      </c>
      <c r="B8" s="65">
        <f>+'[6]จ่ายจากเงินรายรับ ก.ย.'!$G$26+'[6]งบประมาณคงเหลือ ก.ย.'!$G$24</f>
        <v>601120</v>
      </c>
      <c r="C8" s="65">
        <f>D8+E8+F8+G8</f>
        <v>496115</v>
      </c>
      <c r="D8" s="65">
        <f>+'[6]จ่ายจากเงินรายรับ ก.ย.'!$G$26</f>
        <v>496115</v>
      </c>
      <c r="E8" s="65">
        <f>+'[4]จ่ายจากเงินรายรับ ม.ค.'!$H$26</f>
        <v>0</v>
      </c>
      <c r="F8" s="65">
        <v>0</v>
      </c>
      <c r="G8" s="65">
        <v>0</v>
      </c>
    </row>
    <row r="9" spans="1:7" ht="20.25" customHeight="1">
      <c r="A9" s="130" t="s">
        <v>29</v>
      </c>
      <c r="B9" s="164">
        <v>0</v>
      </c>
      <c r="C9" s="65">
        <f aca="true" t="shared" si="0" ref="C9:C18">D9+E9+F9+G9</f>
        <v>0</v>
      </c>
      <c r="D9" s="65">
        <v>0</v>
      </c>
      <c r="E9" s="65">
        <v>0</v>
      </c>
      <c r="F9" s="65">
        <v>0</v>
      </c>
      <c r="G9" s="65">
        <v>0</v>
      </c>
    </row>
    <row r="10" spans="1:7" ht="20.25" customHeight="1">
      <c r="A10" s="130" t="s">
        <v>30</v>
      </c>
      <c r="B10" s="65">
        <f>+'[6]จ่ายจากเงินรายรับ ก.ย.'!$G$34+'[6]จ่ายจากเงินรายรับ ก.ย.'!$H$34+'[6]งบประมาณคงเหลือ ก.ย.'!$G$30+'[6]งบประมาณคงเหลือ ก.ย.'!$H$30</f>
        <v>516920</v>
      </c>
      <c r="C10" s="65">
        <f t="shared" si="0"/>
        <v>436020</v>
      </c>
      <c r="D10" s="65">
        <f>+'[6]จ่ายจากเงินรายรับ ก.ย.'!$G$34</f>
        <v>223860</v>
      </c>
      <c r="E10" s="65">
        <f>+'[6]จ่ายจากเงินรายรับ ก.ย.'!$H$34</f>
        <v>212160</v>
      </c>
      <c r="F10" s="65">
        <v>0</v>
      </c>
      <c r="G10" s="65">
        <v>0</v>
      </c>
    </row>
    <row r="11" spans="1:7" ht="20.25" customHeight="1">
      <c r="A11" s="130" t="s">
        <v>31</v>
      </c>
      <c r="B11" s="65">
        <f>+'[6]จ่ายจากเงินรายรับ ก.ย.'!$G$50+'[6]งบประมาณคงเหลือ ก.ย.'!$G$46</f>
        <v>10000</v>
      </c>
      <c r="C11" s="65">
        <f t="shared" si="0"/>
        <v>7046</v>
      </c>
      <c r="D11" s="65">
        <f>+'[6]จ่ายจากเงินรายรับ ก.ย.'!$G$50</f>
        <v>7046</v>
      </c>
      <c r="E11" s="65">
        <f>+'[5]จ่ายจากเงินรายรับ พ.ค.'!$H$50</f>
        <v>0</v>
      </c>
      <c r="F11" s="65">
        <v>0</v>
      </c>
      <c r="G11" s="65">
        <v>0</v>
      </c>
    </row>
    <row r="12" spans="1:7" ht="20.25" customHeight="1">
      <c r="A12" s="130" t="s">
        <v>57</v>
      </c>
      <c r="B12" s="65">
        <f>+'[6]จ่ายจากเงินรายรับ ก.ย.'!$G$58+'[6]จ่ายจากเงินรายรับ ก.ย.'!$H$58+'[6]จ่ายจากเงินรายรับ ก.ย.'!$I$58+'[6]จ่ายจากเงินรายรับ ก.ย.'!$J$58+'[6]งบประมาณคงเหลือ ก.ย.'!$G$53+'[6]งบประมาณคงเหลือ ก.ย.'!$H$53+'[6]งบประมาณคงเหลือ ก.ย.'!$I$53+'[6]งบประมาณคงเหลือ ก.ย.'!$J$53</f>
        <v>1182425</v>
      </c>
      <c r="C12" s="65">
        <f t="shared" si="0"/>
        <v>1077723.05</v>
      </c>
      <c r="D12" s="65">
        <f>+'[6]จ่ายจากเงินรายรับ ก.ย.'!$G$58</f>
        <v>61589.05</v>
      </c>
      <c r="E12" s="65">
        <f>+'[6]จ่ายจากเงินรายรับ ก.ย.'!$H$58</f>
        <v>851545</v>
      </c>
      <c r="F12" s="65">
        <f>+'[5]จ่ายจากเงินรายรับ พ.ค.'!$I$58</f>
        <v>0</v>
      </c>
      <c r="G12" s="65">
        <f>+'[6]จ่ายจากเงินรายรับ ก.ย.'!$J$58</f>
        <v>164589</v>
      </c>
    </row>
    <row r="13" spans="1:7" ht="20.25" customHeight="1">
      <c r="A13" s="130" t="s">
        <v>58</v>
      </c>
      <c r="B13" s="65">
        <f>+'[6]จ่ายจากเงินรายรับ ก.ย.'!$G$78+'[6]จ่ายจากเงินรายรับ ก.ย.'!$H$78+'[6]จ่ายจากเงินรายรับ ก.ย.'!$I$78+'[6]จ่ายจากเงินรายรับ ก.ย.'!$J$78+'[6]งบประมาณคงเหลือ ก.ย.'!$G$72+'[6]งบประมาณคงเหลือ ก.ย.'!$H$72+'[6]งบประมาณคงเหลือ ก.ย.'!$I$72+'[6]งบประมาณคงเหลือ ก.ย.'!$J$72</f>
        <v>1035437</v>
      </c>
      <c r="C13" s="65">
        <f t="shared" si="0"/>
        <v>982188</v>
      </c>
      <c r="D13" s="65">
        <f>+'[6]จ่ายจากเงินรายรับ ก.ย.'!$G$78</f>
        <v>76480</v>
      </c>
      <c r="E13" s="65">
        <f>+'[6]จ่ายจากเงินรายรับ ก.ย.'!$H$78</f>
        <v>905708</v>
      </c>
      <c r="F13" s="65">
        <f>+'[3]จ่ายจากเงินรายรับ ก.ย.'!$I$77</f>
        <v>0</v>
      </c>
      <c r="G13" s="65">
        <f>+'[5]จ่ายจากเงินรายรับ พ.ค.'!$J$78</f>
        <v>0</v>
      </c>
    </row>
    <row r="14" spans="1:7" ht="20.25" customHeight="1">
      <c r="A14" s="130" t="s">
        <v>33</v>
      </c>
      <c r="B14" s="65">
        <f>+'[6]จ่ายจากเงินรายรับ ก.ย.'!$G$85+'[6]จ่ายจากเงินรายรับ ก.ย.'!$H$85+'[6]จ่ายจากเงินรายรับ ก.ย.'!$I$85+'[6]จ่ายจากเงินรายรับ ก.ย.'!$J$85+'[6]งบประมาณคงเหลือ ก.ย.'!$G$78+'[6]งบประมาณคงเหลือ ก.ย.'!$H$78+'[6]งบประมาณคงเหลือ ก.ย.'!$I$78+'[6]งบประมาณคงเหลือ ก.ย.'!$J$78</f>
        <v>55500</v>
      </c>
      <c r="C14" s="65">
        <f t="shared" si="0"/>
        <v>42180.92</v>
      </c>
      <c r="D14" s="65">
        <f>+'[6]จ่ายจากเงินรายรับ ก.ย.'!$G$85</f>
        <v>0</v>
      </c>
      <c r="E14" s="65">
        <f>+'[6]จ่ายจากเงินรายรับ ก.ย.'!$H$85</f>
        <v>42180.92</v>
      </c>
      <c r="F14" s="65">
        <v>0</v>
      </c>
      <c r="G14" s="65">
        <v>0</v>
      </c>
    </row>
    <row r="15" spans="1:7" ht="20.25" customHeight="1">
      <c r="A15" s="130" t="s">
        <v>34</v>
      </c>
      <c r="B15" s="65">
        <f>+'[6]จ่ายจากเงินรายรับ ก.ย.'!$G$91+'[6]จ่ายจากเงินรายรับ ก.ย.'!$H$91+'[6]จ่ายจากเงินรายรับ ก.ย.'!$I$91+'[6]จ่ายจากเงินรายรับ ก.ย.'!$J$91+'[6]งบประมาณคงเหลือ ก.ย.'!$G$83+'[6]งบประมาณคงเหลือ ก.ย.'!$H$83+'[6]งบประมาณคงเหลือ ก.ย.'!$I$83+'[6]งบประมาณคงเหลือ ก.ย.'!$J$83</f>
        <v>597500</v>
      </c>
      <c r="C15" s="65">
        <f t="shared" si="0"/>
        <v>597500</v>
      </c>
      <c r="D15" s="65">
        <f>+'[6]จ่ายจากเงินรายรับ ก.ย.'!$G$91</f>
        <v>0</v>
      </c>
      <c r="E15" s="65">
        <f>+'[6]จ่ายจากเงินรายรับ ก.ย.'!$H$91</f>
        <v>577500</v>
      </c>
      <c r="F15" s="65">
        <v>0</v>
      </c>
      <c r="G15" s="65">
        <f>+'[6]จ่ายจากเงินรายรับ ก.ย.'!$J$91</f>
        <v>20000</v>
      </c>
    </row>
    <row r="16" spans="1:7" ht="20.25" customHeight="1">
      <c r="A16" s="96" t="s">
        <v>36</v>
      </c>
      <c r="B16" s="65">
        <v>0</v>
      </c>
      <c r="C16" s="65">
        <f t="shared" si="0"/>
        <v>0</v>
      </c>
      <c r="D16" s="65">
        <v>0</v>
      </c>
      <c r="E16" s="65">
        <v>0</v>
      </c>
      <c r="F16" s="65">
        <v>0</v>
      </c>
      <c r="G16" s="65">
        <v>0</v>
      </c>
    </row>
    <row r="17" spans="1:7" ht="20.25" customHeight="1">
      <c r="A17" s="96" t="s">
        <v>103</v>
      </c>
      <c r="B17" s="65">
        <f>+'[6]จ่ายจากเงินรายรับ ก.ย.'!$G$110+'[6]จ่ายจากเงินรายรับ ก.ย.'!$H$110+'[6]จ่ายจากเงินรายรับ ก.ย.'!$I$110+'[6]จ่ายจากเงินรายรับ ก.ย.'!$J$110+'[6]งบประมาณคงเหลือ ก.ย.'!$G$101+'[6]งบประมาณคงเหลือ ก.ย.'!$H$101+'[6]งบประมาณคงเหลือ ก.ย.'!$I$101+'[6]งบประมาณคงเหลือ ก.ย.'!$J$101</f>
        <v>154150</v>
      </c>
      <c r="C17" s="65">
        <f t="shared" si="0"/>
        <v>152650</v>
      </c>
      <c r="D17" s="65">
        <f>+'[6]จ่ายจากเงินรายรับ ก.ย.'!$G$110</f>
        <v>48000</v>
      </c>
      <c r="E17" s="65">
        <f>+'[6]จ่ายจากเงินรายรับ ก.ย.'!$H$110</f>
        <v>60500</v>
      </c>
      <c r="F17" s="65">
        <f>+'[3]จ่ายจากเงินรายรับ ก.ย.'!$I$108</f>
        <v>0</v>
      </c>
      <c r="G17" s="65">
        <f>+'[6]จ่ายจากเงินรายรับ ก.ย.'!$J$110</f>
        <v>44150</v>
      </c>
    </row>
    <row r="18" spans="1:7" ht="20.25" customHeight="1">
      <c r="A18" s="96" t="s">
        <v>173</v>
      </c>
      <c r="B18" s="65">
        <f>+'[6]จ่ายจากเงินรายรับ ก.ย.'!$G$124+'[6]จ่ายจากเงินรายรับ ก.ย.'!$H$124+'[6]จ่ายจากเงินรายรับ ก.ย.'!$I$124+'[6]จ่ายจากเงินรายรับ ก.ย.'!$J$124+'[6]งบประมาณคงเหลือ ก.ย.'!$G$114+'[6]งบประมาณคงเหลือ ก.ย.'!$H$114+'[6]งบประมาณคงเหลือ ก.ย.'!$I$114+'[6]งบประมาณคงเหลือ ก.ย.'!$J$114</f>
        <v>96200</v>
      </c>
      <c r="C18" s="65">
        <f t="shared" si="0"/>
        <v>96200</v>
      </c>
      <c r="D18" s="65">
        <f>+'[6]จ่ายจากเงินรายรับ ก.ย.'!$G$124</f>
        <v>0</v>
      </c>
      <c r="E18" s="65">
        <f>+'[6]จ่ายจากเงินรายรับ ก.ย.'!$H$124</f>
        <v>96200</v>
      </c>
      <c r="F18" s="65">
        <f>+'[1]จ่ายจากเงินรายรับ'!$I$122</f>
        <v>0</v>
      </c>
      <c r="G18" s="65">
        <f>+'[6]จ่ายจากเงินรายรับ ก.ย.'!$J$124</f>
        <v>0</v>
      </c>
    </row>
    <row r="19" spans="1:7" ht="20.25" customHeight="1">
      <c r="A19" s="131" t="s">
        <v>11</v>
      </c>
      <c r="B19" s="66">
        <f>SUM(B8:B18)</f>
        <v>4249252</v>
      </c>
      <c r="C19" s="132">
        <f>SUM(C7:C18)</f>
        <v>3887622.9699999997</v>
      </c>
      <c r="D19" s="132">
        <f>SUM(D7:D18)</f>
        <v>913090.05</v>
      </c>
      <c r="E19" s="132">
        <f>SUM(E7:E18)</f>
        <v>2745793.92</v>
      </c>
      <c r="F19" s="132">
        <f>SUM(F7:F18)</f>
        <v>0</v>
      </c>
      <c r="G19" s="132">
        <f>SUM(G7:G18)</f>
        <v>228739</v>
      </c>
    </row>
    <row r="20" spans="1:7" ht="20.25" customHeight="1">
      <c r="A20" s="118" t="s">
        <v>39</v>
      </c>
      <c r="B20" s="129"/>
      <c r="C20" s="129"/>
      <c r="D20" s="129"/>
      <c r="E20" s="129"/>
      <c r="F20" s="129"/>
      <c r="G20" s="134"/>
    </row>
    <row r="21" spans="1:7" ht="20.25" customHeight="1">
      <c r="A21" s="133" t="s">
        <v>84</v>
      </c>
      <c r="B21" s="134"/>
      <c r="C21" s="134"/>
      <c r="D21" s="134"/>
      <c r="E21" s="134"/>
      <c r="F21" s="134"/>
      <c r="G21" s="134"/>
    </row>
    <row r="22" spans="1:7" ht="20.25" customHeight="1">
      <c r="A22" s="67" t="s">
        <v>84</v>
      </c>
      <c r="B22" s="135"/>
      <c r="C22" s="135"/>
      <c r="D22" s="135"/>
      <c r="E22" s="135"/>
      <c r="F22" s="135"/>
      <c r="G22" s="134"/>
    </row>
    <row r="23" spans="1:7" ht="20.25" customHeight="1">
      <c r="A23" s="136" t="s">
        <v>11</v>
      </c>
      <c r="B23" s="137"/>
      <c r="C23" s="137"/>
      <c r="D23" s="137"/>
      <c r="E23" s="137"/>
      <c r="F23" s="137"/>
      <c r="G23" s="137"/>
    </row>
    <row r="24" spans="1:7" ht="20.25" customHeight="1">
      <c r="A24" s="67"/>
      <c r="B24" s="67"/>
      <c r="C24" s="67"/>
      <c r="D24" s="67"/>
      <c r="E24" s="67"/>
      <c r="F24" s="67"/>
      <c r="G24" s="67"/>
    </row>
    <row r="25" spans="1:7" ht="23.25">
      <c r="A25" s="124" t="s">
        <v>41</v>
      </c>
      <c r="B25" s="80" t="s">
        <v>42</v>
      </c>
      <c r="C25" s="67"/>
      <c r="D25" s="67"/>
      <c r="E25" s="67"/>
      <c r="F25" s="67"/>
      <c r="G25" s="67"/>
    </row>
    <row r="26" spans="1:7" ht="23.25">
      <c r="A26" s="80"/>
      <c r="B26" s="80" t="s">
        <v>43</v>
      </c>
      <c r="C26" s="67"/>
      <c r="D26" s="67"/>
      <c r="E26" s="67"/>
      <c r="F26" s="67"/>
      <c r="G26" s="67"/>
    </row>
    <row r="27" ht="23.25">
      <c r="G27" s="67"/>
    </row>
    <row r="28" ht="23.25">
      <c r="G28" s="67"/>
    </row>
    <row r="29" ht="23.25">
      <c r="G29" s="67"/>
    </row>
    <row r="30" ht="23.25">
      <c r="G30" s="67"/>
    </row>
    <row r="31" ht="23.25">
      <c r="G31" s="67"/>
    </row>
    <row r="32" ht="23.25">
      <c r="G32" s="67"/>
    </row>
  </sheetData>
  <mergeCells count="4">
    <mergeCell ref="A4:F4"/>
    <mergeCell ref="A2:G2"/>
    <mergeCell ref="A1:G1"/>
    <mergeCell ref="A3:F3"/>
  </mergeCells>
  <printOptions/>
  <pageMargins left="0.7086614173228347" right="0.5511811023622047" top="0.3937007874015748" bottom="0.3937007874015748" header="0.2362204724409449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6">
      <selection activeCell="I36" sqref="I36"/>
    </sheetView>
  </sheetViews>
  <sheetFormatPr defaultColWidth="9.140625" defaultRowHeight="21.75"/>
  <cols>
    <col min="1" max="1" width="6.7109375" style="366" customWidth="1"/>
    <col min="2" max="2" width="3.7109375" style="366" customWidth="1"/>
    <col min="3" max="3" width="40.7109375" style="366" customWidth="1"/>
    <col min="4" max="4" width="11.7109375" style="366" customWidth="1"/>
    <col min="5" max="5" width="3.7109375" style="366" customWidth="1"/>
    <col min="6" max="6" width="12.00390625" style="366" customWidth="1"/>
    <col min="7" max="8" width="3.7109375" style="366" customWidth="1"/>
    <col min="9" max="9" width="10.7109375" style="366" customWidth="1"/>
    <col min="10" max="10" width="3.7109375" style="366" customWidth="1"/>
    <col min="11" max="16384" width="9.140625" style="366" customWidth="1"/>
  </cols>
  <sheetData>
    <row r="1" spans="1:10" ht="23.25">
      <c r="A1" s="481" t="s">
        <v>568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0" ht="23.25">
      <c r="A2" s="481" t="s">
        <v>643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1:10" ht="23.25">
      <c r="A3" s="481" t="s">
        <v>644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ht="12" customHeight="1">
      <c r="A4" s="481"/>
      <c r="B4" s="481"/>
      <c r="C4" s="481"/>
      <c r="D4" s="481"/>
      <c r="E4" s="481"/>
      <c r="F4" s="481"/>
      <c r="G4" s="481"/>
      <c r="H4" s="481"/>
      <c r="I4" s="481"/>
      <c r="J4" s="481"/>
    </row>
    <row r="5" spans="1:10" ht="21" customHeight="1">
      <c r="A5" s="487"/>
      <c r="B5" s="489"/>
      <c r="C5" s="488"/>
      <c r="D5" s="487" t="s">
        <v>22</v>
      </c>
      <c r="E5" s="488"/>
      <c r="F5" s="487" t="s">
        <v>569</v>
      </c>
      <c r="G5" s="488"/>
      <c r="H5" s="388" t="s">
        <v>570</v>
      </c>
      <c r="I5" s="487" t="s">
        <v>571</v>
      </c>
      <c r="J5" s="488"/>
    </row>
    <row r="6" spans="1:10" ht="21" customHeight="1">
      <c r="A6" s="485"/>
      <c r="B6" s="490"/>
      <c r="C6" s="486"/>
      <c r="D6" s="483"/>
      <c r="E6" s="484"/>
      <c r="F6" s="483"/>
      <c r="G6" s="484"/>
      <c r="H6" s="389" t="s">
        <v>5</v>
      </c>
      <c r="I6" s="485" t="s">
        <v>572</v>
      </c>
      <c r="J6" s="486"/>
    </row>
    <row r="7" spans="1:10" ht="23.25">
      <c r="A7" s="390" t="s">
        <v>573</v>
      </c>
      <c r="D7" s="391"/>
      <c r="E7" s="392"/>
      <c r="F7" s="391"/>
      <c r="G7" s="391"/>
      <c r="H7" s="391"/>
      <c r="I7" s="391"/>
      <c r="J7" s="391"/>
    </row>
    <row r="8" spans="1:10" ht="23.25">
      <c r="A8" s="390" t="s">
        <v>39</v>
      </c>
      <c r="D8" s="393"/>
      <c r="E8" s="394"/>
      <c r="F8" s="393"/>
      <c r="G8" s="393"/>
      <c r="H8" s="393"/>
      <c r="I8" s="393"/>
      <c r="J8" s="393"/>
    </row>
    <row r="9" spans="2:10" ht="23.25">
      <c r="B9" s="366" t="s">
        <v>104</v>
      </c>
      <c r="D9" s="395">
        <v>167000</v>
      </c>
      <c r="E9" s="396" t="s">
        <v>5</v>
      </c>
      <c r="F9" s="395">
        <v>192895</v>
      </c>
      <c r="G9" s="397" t="s">
        <v>680</v>
      </c>
      <c r="H9" s="397" t="s">
        <v>570</v>
      </c>
      <c r="I9" s="395">
        <v>25895</v>
      </c>
      <c r="J9" s="397" t="s">
        <v>680</v>
      </c>
    </row>
    <row r="10" spans="2:10" ht="23.25">
      <c r="B10" s="366" t="s">
        <v>574</v>
      </c>
      <c r="D10" s="395">
        <v>151000</v>
      </c>
      <c r="E10" s="396" t="s">
        <v>5</v>
      </c>
      <c r="F10" s="395">
        <v>169058</v>
      </c>
      <c r="G10" s="397" t="s">
        <v>5</v>
      </c>
      <c r="H10" s="397" t="s">
        <v>570</v>
      </c>
      <c r="I10" s="395">
        <v>18058</v>
      </c>
      <c r="J10" s="397" t="s">
        <v>5</v>
      </c>
    </row>
    <row r="11" spans="2:10" ht="23.25">
      <c r="B11" s="366" t="s">
        <v>106</v>
      </c>
      <c r="D11" s="395">
        <v>20000</v>
      </c>
      <c r="E11" s="396" t="s">
        <v>5</v>
      </c>
      <c r="F11" s="395">
        <v>3561</v>
      </c>
      <c r="G11" s="397" t="s">
        <v>645</v>
      </c>
      <c r="H11" s="397" t="s">
        <v>5</v>
      </c>
      <c r="I11" s="395">
        <v>16438</v>
      </c>
      <c r="J11" s="397" t="s">
        <v>646</v>
      </c>
    </row>
    <row r="12" spans="2:10" ht="23.25">
      <c r="B12" s="366" t="s">
        <v>575</v>
      </c>
      <c r="D12" s="395">
        <v>950000</v>
      </c>
      <c r="E12" s="396" t="s">
        <v>5</v>
      </c>
      <c r="F12" s="395">
        <v>1390266</v>
      </c>
      <c r="G12" s="397" t="s">
        <v>5</v>
      </c>
      <c r="H12" s="397" t="s">
        <v>570</v>
      </c>
      <c r="I12" s="395">
        <v>440266</v>
      </c>
      <c r="J12" s="397" t="s">
        <v>5</v>
      </c>
    </row>
    <row r="13" spans="2:10" ht="23.25">
      <c r="B13" s="366" t="s">
        <v>107</v>
      </c>
      <c r="D13" s="395">
        <v>20000</v>
      </c>
      <c r="E13" s="396" t="s">
        <v>5</v>
      </c>
      <c r="F13" s="395">
        <v>429130</v>
      </c>
      <c r="G13" s="397" t="s">
        <v>5</v>
      </c>
      <c r="H13" s="397" t="s">
        <v>570</v>
      </c>
      <c r="I13" s="395">
        <v>409130</v>
      </c>
      <c r="J13" s="397" t="s">
        <v>5</v>
      </c>
    </row>
    <row r="14" spans="2:10" ht="23.25">
      <c r="B14" s="366" t="s">
        <v>576</v>
      </c>
      <c r="D14" s="395">
        <v>9312000</v>
      </c>
      <c r="E14" s="396" t="s">
        <v>5</v>
      </c>
      <c r="F14" s="395">
        <v>12327026</v>
      </c>
      <c r="G14" s="397" t="s">
        <v>660</v>
      </c>
      <c r="H14" s="397" t="s">
        <v>570</v>
      </c>
      <c r="I14" s="395">
        <v>3015026</v>
      </c>
      <c r="J14" s="397" t="s">
        <v>660</v>
      </c>
    </row>
    <row r="15" spans="2:10" ht="23.25">
      <c r="B15" s="366" t="s">
        <v>34</v>
      </c>
      <c r="D15" s="398">
        <v>8200000</v>
      </c>
      <c r="E15" s="399" t="s">
        <v>5</v>
      </c>
      <c r="F15" s="398">
        <v>7430172</v>
      </c>
      <c r="G15" s="400" t="s">
        <v>5</v>
      </c>
      <c r="H15" s="400" t="s">
        <v>5</v>
      </c>
      <c r="I15" s="398">
        <v>769828</v>
      </c>
      <c r="J15" s="400" t="s">
        <v>5</v>
      </c>
    </row>
    <row r="16" spans="1:10" ht="23.25">
      <c r="A16" s="390"/>
      <c r="D16" s="401">
        <f>SUM(D9:D15)</f>
        <v>18820000</v>
      </c>
      <c r="E16" s="402" t="s">
        <v>5</v>
      </c>
      <c r="F16" s="401">
        <v>21942109</v>
      </c>
      <c r="G16" s="402" t="s">
        <v>681</v>
      </c>
      <c r="H16" s="402" t="s">
        <v>570</v>
      </c>
      <c r="I16" s="401">
        <v>3122109</v>
      </c>
      <c r="J16" s="402" t="s">
        <v>681</v>
      </c>
    </row>
    <row r="17" spans="2:7" ht="23.25">
      <c r="B17" s="481" t="s">
        <v>577</v>
      </c>
      <c r="C17" s="481"/>
      <c r="F17" s="410">
        <v>21942109</v>
      </c>
      <c r="G17" s="460" t="s">
        <v>681</v>
      </c>
    </row>
    <row r="18" ht="15" customHeight="1"/>
    <row r="19" spans="1:10" ht="21" customHeight="1">
      <c r="A19" s="487"/>
      <c r="B19" s="489"/>
      <c r="C19" s="488"/>
      <c r="D19" s="487" t="s">
        <v>22</v>
      </c>
      <c r="E19" s="488"/>
      <c r="F19" s="487" t="s">
        <v>578</v>
      </c>
      <c r="G19" s="488"/>
      <c r="H19" s="388" t="s">
        <v>570</v>
      </c>
      <c r="I19" s="487" t="s">
        <v>571</v>
      </c>
      <c r="J19" s="488"/>
    </row>
    <row r="20" spans="1:10" ht="21" customHeight="1">
      <c r="A20" s="485"/>
      <c r="B20" s="490"/>
      <c r="C20" s="486"/>
      <c r="D20" s="483"/>
      <c r="E20" s="484"/>
      <c r="F20" s="483"/>
      <c r="G20" s="484"/>
      <c r="H20" s="389" t="s">
        <v>5</v>
      </c>
      <c r="I20" s="485" t="s">
        <v>572</v>
      </c>
      <c r="J20" s="486"/>
    </row>
    <row r="21" spans="1:10" ht="23.25">
      <c r="A21" s="390" t="s">
        <v>579</v>
      </c>
      <c r="D21" s="403"/>
      <c r="E21" s="404"/>
      <c r="F21" s="403"/>
      <c r="G21" s="405"/>
      <c r="H21" s="405"/>
      <c r="I21" s="403"/>
      <c r="J21" s="405"/>
    </row>
    <row r="22" spans="2:10" ht="23.25">
      <c r="B22" s="477" t="s">
        <v>36</v>
      </c>
      <c r="C22" s="491"/>
      <c r="D22" s="395">
        <v>1879755</v>
      </c>
      <c r="E22" s="396" t="s">
        <v>5</v>
      </c>
      <c r="F22" s="395">
        <v>1644477</v>
      </c>
      <c r="G22" s="397" t="s">
        <v>674</v>
      </c>
      <c r="H22" s="397" t="s">
        <v>570</v>
      </c>
      <c r="I22" s="395">
        <v>235277</v>
      </c>
      <c r="J22" s="397" t="s">
        <v>675</v>
      </c>
    </row>
    <row r="23" spans="2:10" ht="23.25">
      <c r="B23" s="366" t="s">
        <v>661</v>
      </c>
      <c r="D23" s="395">
        <v>2003400</v>
      </c>
      <c r="E23" s="396" t="s">
        <v>5</v>
      </c>
      <c r="F23" s="395">
        <v>2239200</v>
      </c>
      <c r="G23" s="397" t="s">
        <v>5</v>
      </c>
      <c r="H23" s="397" t="s">
        <v>570</v>
      </c>
      <c r="I23" s="395">
        <v>235800</v>
      </c>
      <c r="J23" s="397" t="s">
        <v>5</v>
      </c>
    </row>
    <row r="24" spans="2:10" ht="23.25">
      <c r="B24" s="366" t="s">
        <v>662</v>
      </c>
      <c r="D24" s="395">
        <v>2264000</v>
      </c>
      <c r="E24" s="396" t="s">
        <v>5</v>
      </c>
      <c r="F24" s="395">
        <v>1927808</v>
      </c>
      <c r="G24" s="397" t="s">
        <v>5</v>
      </c>
      <c r="H24" s="397" t="s">
        <v>570</v>
      </c>
      <c r="I24" s="395">
        <v>336192</v>
      </c>
      <c r="J24" s="397" t="s">
        <v>5</v>
      </c>
    </row>
    <row r="25" spans="2:10" ht="23.25">
      <c r="B25" s="366" t="s">
        <v>30</v>
      </c>
      <c r="D25" s="395">
        <v>1772500</v>
      </c>
      <c r="E25" s="396" t="s">
        <v>5</v>
      </c>
      <c r="F25" s="395">
        <v>1551900</v>
      </c>
      <c r="G25" s="397" t="s">
        <v>5</v>
      </c>
      <c r="H25" s="397" t="s">
        <v>570</v>
      </c>
      <c r="I25" s="395">
        <v>220600</v>
      </c>
      <c r="J25" s="397" t="s">
        <v>5</v>
      </c>
    </row>
    <row r="26" spans="2:10" ht="23.25">
      <c r="B26" s="366" t="s">
        <v>31</v>
      </c>
      <c r="D26" s="395">
        <v>111000</v>
      </c>
      <c r="E26" s="396" t="s">
        <v>5</v>
      </c>
      <c r="F26" s="395">
        <v>69011</v>
      </c>
      <c r="G26" s="397" t="s">
        <v>5</v>
      </c>
      <c r="H26" s="397" t="s">
        <v>5</v>
      </c>
      <c r="I26" s="395">
        <v>41989</v>
      </c>
      <c r="J26" s="397" t="s">
        <v>5</v>
      </c>
    </row>
    <row r="27" spans="2:10" ht="23.25">
      <c r="B27" s="366" t="s">
        <v>32</v>
      </c>
      <c r="D27" s="395">
        <v>4574380</v>
      </c>
      <c r="E27" s="396" t="s">
        <v>5</v>
      </c>
      <c r="F27" s="395">
        <v>4546707</v>
      </c>
      <c r="G27" s="397" t="s">
        <v>647</v>
      </c>
      <c r="H27" s="397" t="s">
        <v>570</v>
      </c>
      <c r="I27" s="395">
        <v>27672</v>
      </c>
      <c r="J27" s="397" t="s">
        <v>688</v>
      </c>
    </row>
    <row r="28" spans="2:10" ht="23.25">
      <c r="B28" s="366" t="s">
        <v>102</v>
      </c>
      <c r="D28" s="395">
        <v>2651000</v>
      </c>
      <c r="E28" s="396" t="s">
        <v>5</v>
      </c>
      <c r="F28" s="395">
        <v>2510794</v>
      </c>
      <c r="G28" s="397" t="s">
        <v>648</v>
      </c>
      <c r="H28" s="397" t="s">
        <v>570</v>
      </c>
      <c r="I28" s="395">
        <v>140205</v>
      </c>
      <c r="J28" s="397" t="s">
        <v>668</v>
      </c>
    </row>
    <row r="29" spans="1:10" ht="23.25">
      <c r="A29" s="390"/>
      <c r="B29" s="366" t="s">
        <v>33</v>
      </c>
      <c r="D29" s="395">
        <v>1193000</v>
      </c>
      <c r="E29" s="396" t="s">
        <v>5</v>
      </c>
      <c r="F29" s="395">
        <v>1156399</v>
      </c>
      <c r="G29" s="397" t="s">
        <v>635</v>
      </c>
      <c r="H29" s="397" t="s">
        <v>570</v>
      </c>
      <c r="I29" s="395">
        <v>36600</v>
      </c>
      <c r="J29" s="397" t="s">
        <v>689</v>
      </c>
    </row>
    <row r="30" spans="2:10" ht="23.25">
      <c r="B30" s="366" t="s">
        <v>34</v>
      </c>
      <c r="D30" s="395">
        <v>750024</v>
      </c>
      <c r="E30" s="396" t="s">
        <v>5</v>
      </c>
      <c r="F30" s="395">
        <v>720024</v>
      </c>
      <c r="G30" s="397" t="s">
        <v>5</v>
      </c>
      <c r="H30" s="397" t="s">
        <v>570</v>
      </c>
      <c r="I30" s="395">
        <v>30000</v>
      </c>
      <c r="J30" s="397" t="s">
        <v>5</v>
      </c>
    </row>
    <row r="31" spans="2:10" ht="23.25">
      <c r="B31" s="366" t="s">
        <v>580</v>
      </c>
      <c r="D31" s="395">
        <v>161300</v>
      </c>
      <c r="E31" s="396" t="s">
        <v>5</v>
      </c>
      <c r="F31" s="395">
        <v>150300</v>
      </c>
      <c r="G31" s="397" t="s">
        <v>5</v>
      </c>
      <c r="H31" s="397" t="s">
        <v>570</v>
      </c>
      <c r="I31" s="395">
        <v>11000</v>
      </c>
      <c r="J31" s="397" t="s">
        <v>5</v>
      </c>
    </row>
    <row r="32" spans="2:10" ht="23.25">
      <c r="B32" s="366" t="s">
        <v>154</v>
      </c>
      <c r="D32" s="407">
        <v>1458000</v>
      </c>
      <c r="E32" s="408" t="s">
        <v>5</v>
      </c>
      <c r="F32" s="409">
        <v>1446000</v>
      </c>
      <c r="G32" s="408" t="s">
        <v>5</v>
      </c>
      <c r="H32" s="408" t="s">
        <v>5</v>
      </c>
      <c r="I32" s="395">
        <v>12000</v>
      </c>
      <c r="J32" s="408" t="s">
        <v>5</v>
      </c>
    </row>
    <row r="33" spans="1:10" ht="23.25">
      <c r="A33" s="390"/>
      <c r="D33" s="401">
        <f>SUM(D22:D32)</f>
        <v>18818359</v>
      </c>
      <c r="E33" s="402" t="s">
        <v>5</v>
      </c>
      <c r="F33" s="401">
        <v>17962622</v>
      </c>
      <c r="G33" s="402" t="s">
        <v>676</v>
      </c>
      <c r="H33" s="402"/>
      <c r="I33" s="401">
        <v>855736</v>
      </c>
      <c r="J33" s="402" t="s">
        <v>670</v>
      </c>
    </row>
    <row r="34" spans="2:7" ht="23.25">
      <c r="B34" s="481" t="s">
        <v>581</v>
      </c>
      <c r="C34" s="481"/>
      <c r="F34" s="410">
        <v>17962622</v>
      </c>
      <c r="G34" s="460" t="s">
        <v>676</v>
      </c>
    </row>
    <row r="35" spans="2:7" ht="18" customHeight="1">
      <c r="B35" s="387"/>
      <c r="C35" s="387"/>
      <c r="F35" s="403"/>
      <c r="G35" s="411"/>
    </row>
    <row r="36" spans="3:7" ht="23.25">
      <c r="C36" s="387" t="s">
        <v>582</v>
      </c>
      <c r="D36" s="390"/>
      <c r="E36" s="390"/>
      <c r="F36" s="412">
        <v>3979487</v>
      </c>
      <c r="G36" s="413" t="s">
        <v>682</v>
      </c>
    </row>
    <row r="37" spans="3:7" ht="23.25">
      <c r="C37" s="387" t="s">
        <v>583</v>
      </c>
      <c r="F37" s="395"/>
      <c r="G37" s="414"/>
    </row>
    <row r="38" spans="3:7" ht="23.25">
      <c r="C38" s="387" t="s">
        <v>584</v>
      </c>
      <c r="F38" s="415"/>
      <c r="G38" s="416"/>
    </row>
  </sheetData>
  <mergeCells count="21">
    <mergeCell ref="B22:C22"/>
    <mergeCell ref="B34:C34"/>
    <mergeCell ref="A19:C20"/>
    <mergeCell ref="D19:E19"/>
    <mergeCell ref="F19:G19"/>
    <mergeCell ref="I19:J19"/>
    <mergeCell ref="D20:E20"/>
    <mergeCell ref="F20:G20"/>
    <mergeCell ref="I20:J20"/>
    <mergeCell ref="A1:J1"/>
    <mergeCell ref="A2:J2"/>
    <mergeCell ref="A3:J3"/>
    <mergeCell ref="D5:E5"/>
    <mergeCell ref="F5:G5"/>
    <mergeCell ref="I5:J5"/>
    <mergeCell ref="A5:C6"/>
    <mergeCell ref="D6:E6"/>
    <mergeCell ref="B17:C17"/>
    <mergeCell ref="A4:J4"/>
    <mergeCell ref="F6:G6"/>
    <mergeCell ref="I6:J6"/>
  </mergeCells>
  <printOptions horizontalCentered="1"/>
  <pageMargins left="0.5905511811023623" right="0.1968503937007874" top="0.27" bottom="0.27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B19">
      <selection activeCell="I17" sqref="I17"/>
    </sheetView>
  </sheetViews>
  <sheetFormatPr defaultColWidth="9.140625" defaultRowHeight="21.75"/>
  <cols>
    <col min="1" max="1" width="33.7109375" style="0" customWidth="1"/>
    <col min="2" max="2" width="16.57421875" style="0" customWidth="1"/>
    <col min="3" max="3" width="16.140625" style="0" customWidth="1"/>
    <col min="4" max="4" width="22.28125" style="0" customWidth="1"/>
    <col min="5" max="5" width="17.28125" style="0" customWidth="1"/>
    <col min="6" max="6" width="21.421875" style="0" customWidth="1"/>
    <col min="7" max="7" width="16.7109375" style="0" customWidth="1"/>
  </cols>
  <sheetData>
    <row r="1" spans="1:7" ht="23.25">
      <c r="A1" s="532" t="s">
        <v>153</v>
      </c>
      <c r="B1" s="532"/>
      <c r="C1" s="532"/>
      <c r="D1" s="532"/>
      <c r="E1" s="532"/>
      <c r="F1" s="532"/>
      <c r="G1" s="532"/>
    </row>
    <row r="2" spans="1:7" ht="23.25">
      <c r="A2" s="532" t="s">
        <v>151</v>
      </c>
      <c r="B2" s="532"/>
      <c r="C2" s="532"/>
      <c r="D2" s="532"/>
      <c r="E2" s="532"/>
      <c r="F2" s="532"/>
      <c r="G2" s="532"/>
    </row>
    <row r="3" spans="1:6" s="16" customFormat="1" ht="23.25">
      <c r="A3" s="532" t="s">
        <v>196</v>
      </c>
      <c r="B3" s="532"/>
      <c r="C3" s="532"/>
      <c r="D3" s="532"/>
      <c r="E3" s="532"/>
      <c r="F3" s="532"/>
    </row>
    <row r="4" spans="1:7" ht="9.75" customHeight="1">
      <c r="A4" s="532"/>
      <c r="B4" s="532"/>
      <c r="C4" s="532"/>
      <c r="D4" s="532"/>
      <c r="E4" s="532"/>
      <c r="F4" s="532"/>
      <c r="G4" s="38"/>
    </row>
    <row r="5" spans="1:7" ht="22.5" customHeight="1">
      <c r="A5" s="18" t="s">
        <v>21</v>
      </c>
      <c r="B5" s="19" t="s">
        <v>22</v>
      </c>
      <c r="C5" s="19" t="s">
        <v>11</v>
      </c>
      <c r="D5" s="19" t="s">
        <v>23</v>
      </c>
      <c r="E5" s="19" t="s">
        <v>59</v>
      </c>
      <c r="F5" s="19" t="s">
        <v>60</v>
      </c>
      <c r="G5" s="39" t="s">
        <v>61</v>
      </c>
    </row>
    <row r="6" spans="1:7" ht="22.5" customHeight="1">
      <c r="A6" s="21"/>
      <c r="B6" s="22"/>
      <c r="C6" s="22"/>
      <c r="D6" s="22" t="s">
        <v>62</v>
      </c>
      <c r="E6" s="22"/>
      <c r="F6" s="22" t="s">
        <v>63</v>
      </c>
      <c r="G6" s="40" t="s">
        <v>64</v>
      </c>
    </row>
    <row r="7" spans="1:7" ht="23.25">
      <c r="A7" s="23" t="s">
        <v>27</v>
      </c>
      <c r="B7" s="24"/>
      <c r="C7" s="24"/>
      <c r="D7" s="24"/>
      <c r="E7" s="24"/>
      <c r="F7" s="24"/>
      <c r="G7" s="41"/>
    </row>
    <row r="8" spans="1:7" ht="20.25" customHeight="1">
      <c r="A8" s="25" t="s">
        <v>28</v>
      </c>
      <c r="B8" s="26">
        <f>+'[6]จ่ายจากเงินรายรับ ก.ย.'!$K$26+'[6]งบประมาณคงเหลือ ก.ย.'!$K$24</f>
        <v>448300</v>
      </c>
      <c r="C8" s="26">
        <f>D8+E8+F8+G8</f>
        <v>348620</v>
      </c>
      <c r="D8" s="26">
        <f>+'[6]จ่ายจากเงินรายรับ ก.ย.'!$K$26</f>
        <v>348620</v>
      </c>
      <c r="E8" s="26">
        <f>+'[2]จ่ายจากเงินรายรับ พ.ค.'!$L$26</f>
        <v>0</v>
      </c>
      <c r="F8" s="26">
        <f>+'[2]จ่ายจากเงินรายรับ พ.ค.'!$M$26</f>
        <v>0</v>
      </c>
      <c r="G8" s="26">
        <f>+'[2]จ่ายจากเงินรายรับ พ.ค.'!$N$26</f>
        <v>0</v>
      </c>
    </row>
    <row r="9" spans="1:7" ht="20.25" customHeight="1">
      <c r="A9" s="25" t="s">
        <v>29</v>
      </c>
      <c r="B9" s="26">
        <f>+'[3]จ่ายจากสำรองเงินรายรับ'!$K$30</f>
        <v>0</v>
      </c>
      <c r="C9" s="26">
        <f aca="true" t="shared" si="0" ref="C9:C18">D9+E9+F9+G9</f>
        <v>0</v>
      </c>
      <c r="D9" s="26">
        <v>0</v>
      </c>
      <c r="E9" s="26">
        <v>0</v>
      </c>
      <c r="F9" s="26">
        <v>0</v>
      </c>
      <c r="G9" s="41">
        <v>0</v>
      </c>
    </row>
    <row r="10" spans="1:7" ht="20.25" customHeight="1">
      <c r="A10" s="25" t="s">
        <v>30</v>
      </c>
      <c r="B10" s="26">
        <f>+'[6]งบประมาณคงเหลือ ก.ย.'!$K$30+'[6]จ่ายจากเงินรายรับ ก.ย.'!$K$34</f>
        <v>1093400</v>
      </c>
      <c r="C10" s="26">
        <f t="shared" si="0"/>
        <v>857340</v>
      </c>
      <c r="D10" s="26">
        <f>+'[6]จ่ายจากเงินรายรับ ก.ย.'!$K$34</f>
        <v>857340</v>
      </c>
      <c r="E10" s="26">
        <f>+'[2]จ่ายจากเงินรายรับ พ.ค.'!$L$34</f>
        <v>0</v>
      </c>
      <c r="F10" s="26">
        <f>+'[2]จ่ายจากเงินรายรับ พ.ค.'!$M$34</f>
        <v>0</v>
      </c>
      <c r="G10" s="26">
        <f>+'[2]จ่ายจากเงินรายรับ พ.ค.'!$N$34</f>
        <v>0</v>
      </c>
    </row>
    <row r="11" spans="1:7" ht="20.25" customHeight="1">
      <c r="A11" s="25" t="s">
        <v>31</v>
      </c>
      <c r="B11" s="26">
        <f>+'[6]จ่ายจากเงินรายรับ ก.ย.'!$K$50+'[6]งบประมาณคงเหลือ ก.ย.'!$K$46</f>
        <v>115000</v>
      </c>
      <c r="C11" s="26">
        <f t="shared" si="0"/>
        <v>835</v>
      </c>
      <c r="D11" s="26">
        <f>+'[6]จ่ายจากเงินรายรับ ก.ย.'!$K$50</f>
        <v>835</v>
      </c>
      <c r="E11" s="26">
        <f>+'[2]จ่ายจากเงินรายรับ พ.ค.'!$L$50</f>
        <v>0</v>
      </c>
      <c r="F11" s="26">
        <f>+'[2]จ่ายจากเงินรายรับ พ.ค.'!$M$50</f>
        <v>0</v>
      </c>
      <c r="G11" s="26">
        <f>+'[2]จ่ายจากเงินรายรับ พ.ค.'!$N$50</f>
        <v>0</v>
      </c>
    </row>
    <row r="12" spans="1:7" ht="20.25" customHeight="1">
      <c r="A12" s="25" t="s">
        <v>32</v>
      </c>
      <c r="B12" s="26">
        <f>+'[6]จ่ายจากเงินรายรับ ก.ย.'!$K$58+'[6]จ่ายจากเงินรายรับ ก.ย.'!$L$58+'[6]จ่ายจากเงินรายรับ ก.ย.'!$M$58+'[6]จ่ายจากเงินรายรับ ก.ย.'!$N$58+'[6]งบประมาณคงเหลือ ก.ย.'!$K$53+'[6]งบประมาณคงเหลือ ก.ย.'!$L$53+'[6]งบประมาณคงเหลือ ก.ย.'!$M$53+'[6]งบประมาณคงเหลือ ก.ย.'!$N$53</f>
        <v>939550</v>
      </c>
      <c r="C12" s="26">
        <f>+D12+E12+F12+G12</f>
        <v>603897.9</v>
      </c>
      <c r="D12" s="26">
        <f>+'[6]จ่ายจากเงินรายรับ ก.ย.'!$K$58</f>
        <v>205171.9</v>
      </c>
      <c r="E12" s="26">
        <f>+'[6]จ่ายจากเงินรายรับ ก.ย.'!$L$58</f>
        <v>128826</v>
      </c>
      <c r="F12" s="26">
        <f>+'[6]จ่ายจากเงินรายรับ ก.ย.'!$M$58</f>
        <v>269900</v>
      </c>
      <c r="G12" s="26">
        <f>+'[6]จ่ายจากเงินรายรับ ก.ย.'!$N$58</f>
        <v>0</v>
      </c>
    </row>
    <row r="13" spans="1:7" ht="20.25" customHeight="1">
      <c r="A13" s="25" t="s">
        <v>102</v>
      </c>
      <c r="B13" s="26">
        <f>+'[6]จ่ายจากเงินรายรับ ก.ย.'!$K$78+'[6]จ่ายจากเงินรายรับ ก.ย.'!$L$78+'[6]จ่ายจากเงินรายรับ ก.ย.'!$M$78+'[6]จ่ายจากเงินรายรับ ก.ย.'!$N$78+'[6]งบประมาณคงเหลือ ก.ย.'!$K$72+'[6]งบประมาณคงเหลือ ก.ย.'!$L$72+'[6]งบประมาณคงเหลือ ก.ย.'!$M$72+'[6]งบประมาณคงเหลือ ก.ย.'!$N$72</f>
        <v>105000</v>
      </c>
      <c r="C13" s="26">
        <f t="shared" si="0"/>
        <v>41688</v>
      </c>
      <c r="D13" s="26">
        <f>+'[6]จ่ายจากเงินรายรับ ก.ย.'!$K$78</f>
        <v>20288</v>
      </c>
      <c r="E13" s="26">
        <f>+'[5]จ่ายจากเงินรายรับ พ.ค.'!$L$78</f>
        <v>0</v>
      </c>
      <c r="F13" s="26">
        <f>+'[6]จ่ายจากเงินรายรับ ก.ย.'!$M$78</f>
        <v>21400</v>
      </c>
      <c r="G13" s="26">
        <f>+'[6]จ่ายจากเงินรายรับ ก.ย.'!$N$78</f>
        <v>0</v>
      </c>
    </row>
    <row r="14" spans="1:7" ht="20.25" customHeight="1">
      <c r="A14" s="25" t="s">
        <v>33</v>
      </c>
      <c r="B14" s="26">
        <f>+'[5]จ่ายจากเงินรายรับ พ.ค.'!$K$85+'[5]จ่ายจากเงินรายรับ พ.ค.'!$L$85+'[5]จ่ายจากเงินรายรับ พ.ค.'!$M$85+'[5]จ่ายจากเงินรายรับ พ.ค.'!$N$85</f>
        <v>0</v>
      </c>
      <c r="C14" s="26">
        <f t="shared" si="0"/>
        <v>0</v>
      </c>
      <c r="D14" s="26">
        <f>+'[2]จ่ายจากเงินรายรับ พ.ค.'!$K$84</f>
        <v>0</v>
      </c>
      <c r="E14" s="26">
        <f>+'[2]จ่ายจากเงินรายรับ พ.ค.'!$L$84</f>
        <v>0</v>
      </c>
      <c r="F14" s="26">
        <f>+'[5]จ่ายจากเงินรายรับ พ.ค.'!$M$85</f>
        <v>0</v>
      </c>
      <c r="G14" s="26">
        <f>+'[5]จ่ายจากเงินรายรับ พ.ค.'!$N$85</f>
        <v>0</v>
      </c>
    </row>
    <row r="15" spans="1:7" ht="20.25" customHeight="1">
      <c r="A15" s="25" t="s">
        <v>34</v>
      </c>
      <c r="B15" s="26">
        <f>+'[6]จ่ายจากเงินรายรับ ก.ย.'!$K$91+'[6]จ่ายจากเงินรายรับ ก.ย.'!$L$91+'[6]จ่ายจากเงินรายรับ ก.ย.'!$M$91+'[6]จ่ายจากเงินรายรับ ก.ย.'!$N$91+'[6]งบประมาณคงเหลือ ก.ย.'!$K$83+'[6]งบประมาณคงเหลือ ก.ย.'!$L$83+'[6]งบประมาณคงเหลือ ก.ย.'!$M$83+'[6]งบประมาณคงเหลือ ก.ย.'!$N$83</f>
        <v>60000</v>
      </c>
      <c r="C15" s="26">
        <f t="shared" si="0"/>
        <v>58000</v>
      </c>
      <c r="D15" s="26">
        <f>+'[6]จ่ายจากเงินรายรับ ก.ย.'!$K$91</f>
        <v>0</v>
      </c>
      <c r="E15" s="26">
        <f>+'[6]จ่ายจากเงินรายรับ ก.ย.'!$L$91</f>
        <v>58000</v>
      </c>
      <c r="F15" s="26">
        <f>+'[6]จ่ายจากเงินรายรับ ก.ย.'!$M$91</f>
        <v>0</v>
      </c>
      <c r="G15" s="26">
        <f>+'[2]จ่ายจากเงินรายรับ พ.ค.'!$N$90</f>
        <v>0</v>
      </c>
    </row>
    <row r="16" spans="1:7" ht="20.25" customHeight="1">
      <c r="A16" s="27" t="s">
        <v>36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6">
        <f>+'[6]จ่ายจากเงินรายรับ ก.ย.'!$M$110</f>
        <v>0</v>
      </c>
      <c r="G16" s="26">
        <v>0</v>
      </c>
    </row>
    <row r="17" spans="1:7" ht="20.25" customHeight="1">
      <c r="A17" s="27" t="s">
        <v>103</v>
      </c>
      <c r="B17" s="26">
        <v>0</v>
      </c>
      <c r="C17" s="26">
        <f t="shared" si="0"/>
        <v>0</v>
      </c>
      <c r="D17" s="26">
        <f>+'[6]จ่ายจากเงินรายรับ ก.ย.'!$K$110</f>
        <v>0</v>
      </c>
      <c r="E17" s="26">
        <f>+'[6]จ่ายจากเงินรายรับ ก.ย.'!$L$110</f>
        <v>0</v>
      </c>
      <c r="F17" s="26">
        <f>+'[2]จ่ายจากเงินรายรับ พ.ค.'!$M$108</f>
        <v>0</v>
      </c>
      <c r="G17" s="26">
        <f>+'[2]จ่ายจากเงินรายรับ พ.ค.'!$N$108</f>
        <v>0</v>
      </c>
    </row>
    <row r="18" spans="1:7" ht="20.25" customHeight="1">
      <c r="A18" s="27" t="s">
        <v>173</v>
      </c>
      <c r="B18" s="26">
        <f>+'[5]จ่ายจากเงินรายรับ พ.ค.'!$K$124+'[5]จ่ายจากเงินรายรับ พ.ค.'!$L$124+'[5]จ่ายจากเงินรายรับ พ.ค.'!$M$124+'[5]จ่ายจากเงินรายรับ พ.ค.'!$N$124+'[5]งบประมาณคงเหลือ พ.ค.'!$K$114+'[5]งบประมาณคงเหลือ พ.ค.'!$L$114+'[5]งบประมาณคงเหลือ พ.ค.'!$M$114+'[5]งบประมาณคงเหลือ พ.ค.'!$N$114</f>
        <v>0</v>
      </c>
      <c r="C18" s="26">
        <f t="shared" si="0"/>
        <v>0</v>
      </c>
      <c r="D18" s="26">
        <f>+'[4]จ่ายจากเงินรายรับ ม.ค.'!$K$124</f>
        <v>0</v>
      </c>
      <c r="E18" s="26">
        <f>+'[4]จ่ายจากเงินรายรับ ม.ค.'!$L$124</f>
        <v>0</v>
      </c>
      <c r="F18" s="26">
        <v>0</v>
      </c>
      <c r="G18" s="26">
        <v>0</v>
      </c>
    </row>
    <row r="19" spans="1:7" ht="20.25" customHeight="1">
      <c r="A19" s="28" t="s">
        <v>11</v>
      </c>
      <c r="B19" s="29">
        <f aca="true" t="shared" si="1" ref="B19:G19">SUM(B8:B18)</f>
        <v>2761250</v>
      </c>
      <c r="C19" s="29">
        <f t="shared" si="1"/>
        <v>1910380.9</v>
      </c>
      <c r="D19" s="29">
        <f t="shared" si="1"/>
        <v>1432254.9</v>
      </c>
      <c r="E19" s="29">
        <f t="shared" si="1"/>
        <v>186826</v>
      </c>
      <c r="F19" s="29">
        <f t="shared" si="1"/>
        <v>291300</v>
      </c>
      <c r="G19" s="29">
        <f t="shared" si="1"/>
        <v>0</v>
      </c>
    </row>
    <row r="20" spans="1:7" ht="20.25" customHeight="1">
      <c r="A20" s="30" t="s">
        <v>39</v>
      </c>
      <c r="B20" s="24"/>
      <c r="C20" s="31"/>
      <c r="D20" s="31"/>
      <c r="E20" s="31"/>
      <c r="F20" s="31"/>
      <c r="G20" s="43"/>
    </row>
    <row r="21" spans="1:7" ht="20.25" customHeight="1">
      <c r="A21" s="32" t="s">
        <v>84</v>
      </c>
      <c r="B21" s="26"/>
      <c r="C21" s="33"/>
      <c r="D21" s="33"/>
      <c r="E21" s="33"/>
      <c r="F21" s="33"/>
      <c r="G21" s="43"/>
    </row>
    <row r="22" spans="1:7" ht="20.25" customHeight="1">
      <c r="A22" s="16" t="s">
        <v>84</v>
      </c>
      <c r="B22" s="37"/>
      <c r="C22" s="34"/>
      <c r="D22" s="34"/>
      <c r="E22" s="34"/>
      <c r="F22" s="34"/>
      <c r="G22" s="43"/>
    </row>
    <row r="23" spans="1:7" ht="20.25" customHeight="1">
      <c r="A23" s="17" t="s">
        <v>11</v>
      </c>
      <c r="B23" s="35"/>
      <c r="C23" s="35"/>
      <c r="D23" s="35"/>
      <c r="E23" s="35"/>
      <c r="F23" s="35"/>
      <c r="G23" s="44"/>
    </row>
    <row r="24" spans="1:6" ht="9.75" customHeight="1">
      <c r="A24" s="16"/>
      <c r="B24" s="16"/>
      <c r="C24" s="16"/>
      <c r="D24" s="16"/>
      <c r="E24" s="16"/>
      <c r="F24" s="16"/>
    </row>
    <row r="25" spans="1:6" ht="9.75" customHeight="1">
      <c r="A25" s="16"/>
      <c r="B25" s="16"/>
      <c r="C25" s="16"/>
      <c r="D25" s="16"/>
      <c r="E25" s="16"/>
      <c r="F25" s="16"/>
    </row>
    <row r="26" spans="1:6" ht="19.5" customHeight="1">
      <c r="A26" s="36" t="s">
        <v>41</v>
      </c>
      <c r="B26" s="20" t="s">
        <v>42</v>
      </c>
      <c r="C26" s="16"/>
      <c r="D26" s="16"/>
      <c r="E26" s="16"/>
      <c r="F26" s="16"/>
    </row>
    <row r="27" spans="1:6" ht="19.5" customHeight="1">
      <c r="A27" s="20"/>
      <c r="B27" s="20" t="s">
        <v>43</v>
      </c>
      <c r="C27" s="16"/>
      <c r="D27" s="16"/>
      <c r="E27" s="16"/>
      <c r="F27" s="16"/>
    </row>
  </sheetData>
  <mergeCells count="4">
    <mergeCell ref="A1:G1"/>
    <mergeCell ref="A2:G2"/>
    <mergeCell ref="A4:F4"/>
    <mergeCell ref="A3:F3"/>
  </mergeCells>
  <printOptions/>
  <pageMargins left="0.7086614173228347" right="0.5511811023622047" top="0.3937007874015748" bottom="0.3937007874015748" header="0.15748031496062992" footer="0.275590551181102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B1">
      <selection activeCell="E16" sqref="E16"/>
    </sheetView>
  </sheetViews>
  <sheetFormatPr defaultColWidth="9.140625" defaultRowHeight="21.75"/>
  <cols>
    <col min="1" max="1" width="38.7109375" style="0" customWidth="1"/>
    <col min="2" max="2" width="25.00390625" style="0" customWidth="1"/>
    <col min="3" max="3" width="23.140625" style="74" customWidth="1"/>
    <col min="4" max="4" width="25.7109375" style="74" customWidth="1"/>
    <col min="5" max="5" width="29.57421875" style="74" customWidth="1"/>
  </cols>
  <sheetData>
    <row r="1" spans="1:7" ht="23.25">
      <c r="A1" s="532" t="s">
        <v>153</v>
      </c>
      <c r="B1" s="532"/>
      <c r="C1" s="532"/>
      <c r="D1" s="532"/>
      <c r="E1" s="532"/>
      <c r="F1" s="532"/>
      <c r="G1" s="532"/>
    </row>
    <row r="2" spans="1:7" ht="23.25">
      <c r="A2" s="532" t="s">
        <v>155</v>
      </c>
      <c r="B2" s="532"/>
      <c r="C2" s="532"/>
      <c r="D2" s="532"/>
      <c r="E2" s="532"/>
      <c r="F2" s="532"/>
      <c r="G2" s="532"/>
    </row>
    <row r="3" spans="1:6" s="16" customFormat="1" ht="23.25">
      <c r="A3" s="532" t="s">
        <v>196</v>
      </c>
      <c r="B3" s="532"/>
      <c r="C3" s="532"/>
      <c r="D3" s="532"/>
      <c r="E3" s="532"/>
      <c r="F3" s="532"/>
    </row>
    <row r="4" spans="1:7" ht="9.75" customHeight="1">
      <c r="A4" s="532"/>
      <c r="B4" s="532"/>
      <c r="C4" s="532"/>
      <c r="D4" s="532"/>
      <c r="E4" s="532"/>
      <c r="F4" s="532"/>
      <c r="G4" s="38"/>
    </row>
    <row r="5" spans="1:7" ht="22.5" customHeight="1">
      <c r="A5" s="18" t="s">
        <v>21</v>
      </c>
      <c r="B5" s="19" t="s">
        <v>22</v>
      </c>
      <c r="C5" s="71" t="s">
        <v>11</v>
      </c>
      <c r="D5" s="71" t="s">
        <v>23</v>
      </c>
      <c r="E5" s="71" t="s">
        <v>157</v>
      </c>
      <c r="F5" s="45"/>
      <c r="G5" s="46"/>
    </row>
    <row r="6" spans="1:7" ht="22.5" customHeight="1">
      <c r="A6" s="21"/>
      <c r="B6" s="22"/>
      <c r="C6" s="72"/>
      <c r="D6" s="72" t="s">
        <v>156</v>
      </c>
      <c r="E6" s="72" t="s">
        <v>158</v>
      </c>
      <c r="F6" s="45"/>
      <c r="G6" s="46"/>
    </row>
    <row r="7" spans="1:7" ht="20.25" customHeight="1">
      <c r="A7" s="23" t="s">
        <v>27</v>
      </c>
      <c r="B7" s="31"/>
      <c r="C7" s="24"/>
      <c r="D7" s="24"/>
      <c r="E7" s="24"/>
      <c r="F7" s="32"/>
      <c r="G7" s="2"/>
    </row>
    <row r="8" spans="1:7" ht="20.25" customHeight="1">
      <c r="A8" s="25" t="s">
        <v>28</v>
      </c>
      <c r="B8" s="55">
        <f>+'[6]จ่ายจากเงินรายรับ ก.ย.'!$O$26+'[6]งบประมาณคงเหลือ ก.ย.'!$O$24</f>
        <v>160600</v>
      </c>
      <c r="C8" s="26">
        <f aca="true" t="shared" si="0" ref="C8:C18">D8+E8</f>
        <v>160600</v>
      </c>
      <c r="D8" s="26">
        <f>+'[6]จ่ายจากเงินรายรับ ก.ย.'!$O$26</f>
        <v>160600</v>
      </c>
      <c r="E8" s="26">
        <f>+'[5]จ่ายจากเงินรายรับ พ.ค.'!$P$26</f>
        <v>0</v>
      </c>
      <c r="F8" s="32"/>
      <c r="G8" s="2"/>
    </row>
    <row r="9" spans="1:7" ht="20.25" customHeight="1">
      <c r="A9" s="25" t="s">
        <v>29</v>
      </c>
      <c r="B9" s="55">
        <f>+'[5]จ่ายจากเงินรายรับ พ.ค.'!$O$30+'[5]งบประมาณคงเหลือ พ.ค.'!$O$27</f>
        <v>0</v>
      </c>
      <c r="C9" s="26">
        <f t="shared" si="0"/>
        <v>0</v>
      </c>
      <c r="D9" s="26">
        <v>0</v>
      </c>
      <c r="E9" s="26">
        <v>0</v>
      </c>
      <c r="F9" s="32"/>
      <c r="G9" s="2"/>
    </row>
    <row r="10" spans="1:7" ht="20.25" customHeight="1">
      <c r="A10" s="25" t="s">
        <v>30</v>
      </c>
      <c r="B10" s="55">
        <f>+'[6]จ่ายจากเงินรายรับ ก.ย.'!$O$34+'[6]งบประมาณคงเหลือ ก.ย.'!$O$30</f>
        <v>97400</v>
      </c>
      <c r="C10" s="26">
        <f t="shared" si="0"/>
        <v>94900</v>
      </c>
      <c r="D10" s="26">
        <f>+'[6]จ่ายจากเงินรายรับ ก.ย.'!$O$34</f>
        <v>94900</v>
      </c>
      <c r="E10" s="26">
        <f>+'[2]จ่ายจากเงินรายรับ พ.ค.'!$P$34</f>
        <v>0</v>
      </c>
      <c r="F10" s="32"/>
      <c r="G10" s="2"/>
    </row>
    <row r="11" spans="1:7" ht="20.25" customHeight="1">
      <c r="A11" s="25" t="s">
        <v>31</v>
      </c>
      <c r="B11" s="55">
        <f>+'[6]จ่ายจากเงินรายรับ ก.ย.'!$O$50+'[6]งบประมาณคงเหลือ ก.ย.'!$O$46</f>
        <v>27000</v>
      </c>
      <c r="C11" s="26">
        <f t="shared" si="0"/>
        <v>1800</v>
      </c>
      <c r="D11" s="26">
        <f>+'[6]จ่ายจากเงินรายรับ ก.ย.'!$O$50</f>
        <v>1800</v>
      </c>
      <c r="E11" s="26">
        <f>+'[2]จ่ายจากเงินรายรับ พ.ค.'!$P$50</f>
        <v>0</v>
      </c>
      <c r="F11" s="32"/>
      <c r="G11" s="2"/>
    </row>
    <row r="12" spans="1:7" ht="20.25" customHeight="1">
      <c r="A12" s="25" t="s">
        <v>32</v>
      </c>
      <c r="B12" s="55">
        <f>+'[6]จ่ายจากเงินรายรับ ก.ย.'!$O$58+'[6]จ่ายจากเงินรายรับ ก.ย.'!$P$58+'[6]งบประมาณคงเหลือ ก.ย.'!$O$53+'[6]งบประมาณคงเหลือ ก.ย.'!$P$53</f>
        <v>3159000</v>
      </c>
      <c r="C12" s="26">
        <f t="shared" si="0"/>
        <v>2103184</v>
      </c>
      <c r="D12" s="26">
        <f>+'[6]จ่ายจากเงินรายรับ ก.ย.'!$O$58</f>
        <v>377084</v>
      </c>
      <c r="E12" s="26">
        <f>+'[6]จ่ายจากเงินรายรับ ก.ย.'!$P$58</f>
        <v>1726100</v>
      </c>
      <c r="F12" s="32"/>
      <c r="G12" s="2"/>
    </row>
    <row r="13" spans="1:7" ht="20.25" customHeight="1">
      <c r="A13" s="25" t="s">
        <v>49</v>
      </c>
      <c r="B13" s="55">
        <f>+'[6]จ่ายจากเงินรายรับ ก.ย.'!$O$78+'[6]จ่ายจากเงินรายรับ ก.ย.'!$P$78+'[6]งบประมาณคงเหลือ ก.ย.'!$O$72+'[6]งบประมาณคงเหลือ ก.ย.'!$P$72</f>
        <v>80000</v>
      </c>
      <c r="C13" s="26">
        <f t="shared" si="0"/>
        <v>36532</v>
      </c>
      <c r="D13" s="26">
        <f>+'[6]จ่ายจากเงินรายรับ ก.ย.'!$O$78</f>
        <v>8400</v>
      </c>
      <c r="E13" s="26">
        <f>+'[6]จ่ายจากเงินรายรับ ก.ย.'!$P$78</f>
        <v>28132</v>
      </c>
      <c r="F13" s="32"/>
      <c r="G13" s="2"/>
    </row>
    <row r="14" spans="1:7" ht="20.25" customHeight="1">
      <c r="A14" s="25" t="s">
        <v>33</v>
      </c>
      <c r="B14" s="55">
        <f>+'[5]จ่ายจากเงินรายรับ พ.ค.'!$O$85+'[5]จ่ายจากเงินรายรับ พ.ค.'!$P$85+'[5]งบประมาณคงเหลือ พ.ค.'!$O$78+'[5]งบประมาณคงเหลือ พ.ค.'!$P$78</f>
        <v>0</v>
      </c>
      <c r="C14" s="26">
        <f t="shared" si="0"/>
        <v>0</v>
      </c>
      <c r="D14" s="26">
        <f>+'[5]จ่ายจากเงินรายรับ พ.ค.'!$O$85</f>
        <v>0</v>
      </c>
      <c r="E14" s="26">
        <v>0</v>
      </c>
      <c r="F14" s="32"/>
      <c r="G14" s="2"/>
    </row>
    <row r="15" spans="1:7" ht="20.25" customHeight="1">
      <c r="A15" s="25" t="s">
        <v>34</v>
      </c>
      <c r="B15" s="55">
        <f>+'[5]จ่ายจากเงินรายรับ พ.ค.'!$O$91+'[5]จ่ายจากเงินรายรับ พ.ค.'!$P$91+'[5]งบประมาณคงเหลือ พ.ค.'!$O$83+'[5]งบประมาณคงเหลือ พ.ค.'!$P$83</f>
        <v>0</v>
      </c>
      <c r="C15" s="26">
        <f t="shared" si="0"/>
        <v>0</v>
      </c>
      <c r="D15" s="26">
        <f>+'[6]จ่ายจากเงินรายรับ ก.ย.'!$O$91</f>
        <v>0</v>
      </c>
      <c r="E15" s="26">
        <v>0</v>
      </c>
      <c r="F15" s="32"/>
      <c r="G15" s="2"/>
    </row>
    <row r="16" spans="1:7" ht="20.25" customHeight="1">
      <c r="A16" s="27" t="s">
        <v>36</v>
      </c>
      <c r="B16" s="55">
        <v>0</v>
      </c>
      <c r="C16" s="26">
        <f t="shared" si="0"/>
        <v>0</v>
      </c>
      <c r="D16" s="26">
        <v>0</v>
      </c>
      <c r="E16" s="26">
        <v>0</v>
      </c>
      <c r="F16" s="32"/>
      <c r="G16" s="2"/>
    </row>
    <row r="17" spans="1:7" ht="20.25" customHeight="1">
      <c r="A17" s="27" t="s">
        <v>37</v>
      </c>
      <c r="B17" s="55">
        <f>+'[6]จ่ายจากเงินรายรับ ก.ย.'!$O$110+'[6]จ่ายจากเงินรายรับ ก.ย.'!$P$110+'[6]งบประมาณคงเหลือ ก.ย.'!$O$101+'[6]งบประมาณคงเหลือ ก.ย.'!$P$101</f>
        <v>0</v>
      </c>
      <c r="C17" s="26">
        <f t="shared" si="0"/>
        <v>0</v>
      </c>
      <c r="D17" s="26">
        <f>+'[5]จ่ายจากเงินรายรับ พ.ค.'!$O$110</f>
        <v>0</v>
      </c>
      <c r="E17" s="26">
        <f>+'[2]จ่ายจากเงินรายรับ พ.ค.'!$P$108</f>
        <v>0</v>
      </c>
      <c r="F17" s="32"/>
      <c r="G17" s="2"/>
    </row>
    <row r="18" spans="1:7" ht="20.25" customHeight="1">
      <c r="A18" s="27" t="s">
        <v>38</v>
      </c>
      <c r="B18" s="55">
        <f>+'[5]จ่ายจากเงินรายรับ พ.ค.'!$O$124+'[5]จ่ายจากเงินรายรับ พ.ค.'!$P$124+'[5]งบประมาณคงเหลือ พ.ค.'!$O$114+'[5]งบประมาณคงเหลือ พ.ค.'!$P$114</f>
        <v>0</v>
      </c>
      <c r="C18" s="26">
        <f t="shared" si="0"/>
        <v>0</v>
      </c>
      <c r="D18" s="26">
        <f>+'[5]จ่ายจากเงินรายรับ พ.ค.'!$O$124</f>
        <v>0</v>
      </c>
      <c r="E18" s="26">
        <f>+'[1]จ่ายจากเงินรายรับ'!$O$122</f>
        <v>0</v>
      </c>
      <c r="F18" s="32"/>
      <c r="G18" s="2"/>
    </row>
    <row r="19" spans="1:7" ht="19.5" customHeight="1">
      <c r="A19" s="28" t="s">
        <v>11</v>
      </c>
      <c r="B19" s="56">
        <f>SUM(B7:B18)</f>
        <v>3524000</v>
      </c>
      <c r="C19" s="29">
        <f>SUM(C8:C18)</f>
        <v>2397016</v>
      </c>
      <c r="D19" s="29">
        <f>SUM(D8:D18)</f>
        <v>642784</v>
      </c>
      <c r="E19" s="29">
        <f>SUM(E8:E18)</f>
        <v>1754232</v>
      </c>
      <c r="F19" s="32"/>
      <c r="G19" s="2"/>
    </row>
    <row r="20" spans="1:7" ht="19.5" customHeight="1">
      <c r="A20" s="30" t="s">
        <v>39</v>
      </c>
      <c r="B20" s="57"/>
      <c r="C20" s="24"/>
      <c r="D20" s="24"/>
      <c r="E20" s="24"/>
      <c r="F20" s="32"/>
      <c r="G20" s="2"/>
    </row>
    <row r="21" spans="1:7" ht="19.5" customHeight="1">
      <c r="A21" s="32" t="s">
        <v>40</v>
      </c>
      <c r="B21" s="55"/>
      <c r="C21" s="26"/>
      <c r="D21" s="26"/>
      <c r="E21" s="26"/>
      <c r="F21" s="32"/>
      <c r="G21" s="2"/>
    </row>
    <row r="22" spans="1:7" ht="19.5" customHeight="1">
      <c r="A22" s="16" t="s">
        <v>40</v>
      </c>
      <c r="B22" s="58"/>
      <c r="C22" s="37"/>
      <c r="D22" s="37"/>
      <c r="E22" s="37"/>
      <c r="F22" s="32"/>
      <c r="G22" s="2"/>
    </row>
    <row r="23" spans="1:7" ht="19.5" customHeight="1">
      <c r="A23" s="17" t="s">
        <v>11</v>
      </c>
      <c r="B23" s="56"/>
      <c r="C23" s="29"/>
      <c r="D23" s="29"/>
      <c r="E23" s="29"/>
      <c r="F23" s="32"/>
      <c r="G23" s="2"/>
    </row>
    <row r="24" spans="1:6" ht="9.75" customHeight="1">
      <c r="A24" s="16"/>
      <c r="B24" s="16"/>
      <c r="C24" s="73"/>
      <c r="D24" s="73"/>
      <c r="E24" s="73"/>
      <c r="F24" s="16"/>
    </row>
    <row r="25" spans="1:6" ht="9.75" customHeight="1">
      <c r="A25" s="16"/>
      <c r="B25" s="16"/>
      <c r="C25" s="73"/>
      <c r="D25" s="73"/>
      <c r="E25" s="73"/>
      <c r="F25" s="16"/>
    </row>
    <row r="26" spans="1:6" ht="27.75" customHeight="1">
      <c r="A26" s="36" t="s">
        <v>41</v>
      </c>
      <c r="B26" s="20" t="s">
        <v>42</v>
      </c>
      <c r="C26" s="73"/>
      <c r="D26" s="73"/>
      <c r="E26" s="73"/>
      <c r="F26" s="16"/>
    </row>
    <row r="27" spans="1:6" ht="27.75" customHeight="1">
      <c r="A27" s="20"/>
      <c r="B27" s="20" t="s">
        <v>43</v>
      </c>
      <c r="C27" s="73"/>
      <c r="D27" s="73"/>
      <c r="E27" s="73"/>
      <c r="F27" s="16"/>
    </row>
  </sheetData>
  <mergeCells count="4">
    <mergeCell ref="A1:G1"/>
    <mergeCell ref="A2:G2"/>
    <mergeCell ref="A4:F4"/>
    <mergeCell ref="A3:F3"/>
  </mergeCells>
  <printOptions/>
  <pageMargins left="0.7086614173228347" right="0.5511811023622047" top="0.3937007874015748" bottom="0.3937007874015748" header="0.5118110236220472" footer="0.3543307086614173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" sqref="G19"/>
    </sheetView>
  </sheetViews>
  <sheetFormatPr defaultColWidth="9.140625" defaultRowHeight="21.75"/>
  <cols>
    <col min="1" max="1" width="34.140625" style="0" customWidth="1"/>
    <col min="2" max="2" width="16.140625" style="0" customWidth="1"/>
    <col min="3" max="3" width="14.00390625" style="0" customWidth="1"/>
    <col min="4" max="4" width="15.57421875" style="0" customWidth="1"/>
    <col min="5" max="5" width="14.8515625" style="0" customWidth="1"/>
    <col min="6" max="6" width="16.57421875" style="0" customWidth="1"/>
    <col min="7" max="7" width="18.28125" style="0" customWidth="1"/>
    <col min="8" max="8" width="14.7109375" style="0" customWidth="1"/>
  </cols>
  <sheetData>
    <row r="1" spans="1:8" ht="23.25">
      <c r="A1" s="532" t="s">
        <v>153</v>
      </c>
      <c r="B1" s="532"/>
      <c r="C1" s="532"/>
      <c r="D1" s="532"/>
      <c r="E1" s="532"/>
      <c r="F1" s="532"/>
      <c r="G1" s="532"/>
      <c r="H1" s="532"/>
    </row>
    <row r="2" spans="1:8" ht="23.25">
      <c r="A2" s="532" t="s">
        <v>124</v>
      </c>
      <c r="B2" s="532"/>
      <c r="C2" s="532"/>
      <c r="D2" s="532"/>
      <c r="E2" s="532"/>
      <c r="F2" s="532"/>
      <c r="G2" s="532"/>
      <c r="H2" s="532"/>
    </row>
    <row r="3" spans="1:6" s="16" customFormat="1" ht="23.25">
      <c r="A3" s="532" t="s">
        <v>196</v>
      </c>
      <c r="B3" s="532"/>
      <c r="C3" s="532"/>
      <c r="D3" s="532"/>
      <c r="E3" s="532"/>
      <c r="F3" s="532"/>
    </row>
    <row r="4" spans="1:7" ht="9.75" customHeight="1">
      <c r="A4" s="532"/>
      <c r="B4" s="532"/>
      <c r="C4" s="532"/>
      <c r="D4" s="532"/>
      <c r="E4" s="532"/>
      <c r="F4" s="532"/>
      <c r="G4" s="38"/>
    </row>
    <row r="5" spans="1:8" ht="22.5" customHeight="1">
      <c r="A5" s="18" t="s">
        <v>21</v>
      </c>
      <c r="B5" s="19" t="s">
        <v>22</v>
      </c>
      <c r="C5" s="19" t="s">
        <v>11</v>
      </c>
      <c r="D5" s="19" t="s">
        <v>23</v>
      </c>
      <c r="E5" s="19" t="s">
        <v>65</v>
      </c>
      <c r="F5" s="19" t="s">
        <v>66</v>
      </c>
      <c r="G5" s="39" t="s">
        <v>67</v>
      </c>
      <c r="H5" s="39" t="s">
        <v>68</v>
      </c>
    </row>
    <row r="6" spans="1:8" ht="22.5" customHeight="1">
      <c r="A6" s="21"/>
      <c r="B6" s="22"/>
      <c r="C6" s="22"/>
      <c r="D6" s="22"/>
      <c r="E6" s="22"/>
      <c r="F6" s="22"/>
      <c r="G6" s="40" t="s">
        <v>69</v>
      </c>
      <c r="H6" s="40" t="s">
        <v>70</v>
      </c>
    </row>
    <row r="7" spans="1:9" ht="20.25" customHeight="1">
      <c r="A7" s="23" t="s">
        <v>27</v>
      </c>
      <c r="B7" s="24"/>
      <c r="C7" s="24"/>
      <c r="D7" s="24"/>
      <c r="E7" s="24"/>
      <c r="F7" s="24"/>
      <c r="G7" s="65"/>
      <c r="H7" s="63"/>
      <c r="I7" s="67"/>
    </row>
    <row r="8" spans="1:9" ht="20.25" customHeight="1">
      <c r="A8" s="25" t="s">
        <v>28</v>
      </c>
      <c r="B8" s="26">
        <f>+'[6]จ่ายจากเงินรายรับ ก.ย.'!$Q$26+'[6]งบประมาณคงเหลือ ก.ย.'!$Q$24</f>
        <v>722080</v>
      </c>
      <c r="C8" s="26">
        <f>D8+E8+F8+G8+H8</f>
        <v>591908</v>
      </c>
      <c r="D8" s="26">
        <f>+'[6]จ่ายจากเงินรายรับ ก.ย.'!$Q$26</f>
        <v>591908</v>
      </c>
      <c r="E8" s="26">
        <f>+'[2]จ่ายจากเงินรายรับ พ.ค.'!$R$26</f>
        <v>0</v>
      </c>
      <c r="F8" s="26">
        <f>+'[2]จ่ายจากเงินรายรับ พ.ค.'!$S$26</f>
        <v>0</v>
      </c>
      <c r="G8" s="26">
        <f>+'[2]จ่ายจากเงินรายรับ พ.ค.'!$U$26</f>
        <v>0</v>
      </c>
      <c r="H8" s="26">
        <f>+'[2]จ่ายจากเงินรายรับ พ.ค.'!$V$26</f>
        <v>0</v>
      </c>
      <c r="I8" s="67"/>
    </row>
    <row r="9" spans="1:9" ht="20.25" customHeight="1">
      <c r="A9" s="25" t="s">
        <v>29</v>
      </c>
      <c r="B9" s="26">
        <f>+'[6]จ่ายจากเงินรายรับ ก.ย.'!$Q$30+'[6]งบประมาณคงเหลือ ก.ย.'!$Q$27</f>
        <v>135780</v>
      </c>
      <c r="C9" s="26">
        <f aca="true" t="shared" si="0" ref="C9:C18">D9+E9+F9+G9+H9</f>
        <v>110430</v>
      </c>
      <c r="D9" s="26">
        <f>+'[6]จ่ายจากเงินรายรับ ก.ย.'!$Q$30</f>
        <v>110430</v>
      </c>
      <c r="E9" s="26">
        <f>+'[2]จ่ายจากเงินรายรับ พ.ค.'!$R$30</f>
        <v>0</v>
      </c>
      <c r="F9" s="26">
        <f>+'[2]จ่ายจากเงินรายรับ พ.ค.'!$S$30</f>
        <v>0</v>
      </c>
      <c r="G9" s="26">
        <f>+'[2]จ่ายจากเงินรายรับ พ.ค.'!$U$30</f>
        <v>0</v>
      </c>
      <c r="H9" s="26">
        <f>+'[2]จ่ายจากเงินรายรับ พ.ค.'!$V$30</f>
        <v>0</v>
      </c>
      <c r="I9" s="67"/>
    </row>
    <row r="10" spans="1:9" ht="20.25" customHeight="1">
      <c r="A10" s="25" t="s">
        <v>30</v>
      </c>
      <c r="B10" s="26">
        <f>+'[6]จ่ายจากเงินรายรับ ก.ย.'!$Q$34+'[6]งบประมาณคงเหลือ ก.ย.'!$Q$30</f>
        <v>664840</v>
      </c>
      <c r="C10" s="26">
        <f t="shared" si="0"/>
        <v>526314</v>
      </c>
      <c r="D10" s="26">
        <f>+'[6]จ่ายจากเงินรายรับ ก.ย.'!$Q$34</f>
        <v>526314</v>
      </c>
      <c r="E10" s="26">
        <f>+'[2]จ่ายจากเงินรายรับ พ.ค.'!$R$34</f>
        <v>0</v>
      </c>
      <c r="F10" s="26">
        <f>+'[2]จ่ายจากเงินรายรับ พ.ค.'!$S$34</f>
        <v>0</v>
      </c>
      <c r="G10" s="26">
        <f>+'[2]จ่ายจากเงินรายรับ พ.ค.'!$U$34</f>
        <v>0</v>
      </c>
      <c r="H10" s="26">
        <f>+'[2]จ่ายจากเงินรายรับ พ.ค.'!$V$34</f>
        <v>0</v>
      </c>
      <c r="I10" s="67"/>
    </row>
    <row r="11" spans="1:9" ht="20.25" customHeight="1">
      <c r="A11" s="25" t="s">
        <v>31</v>
      </c>
      <c r="B11" s="26">
        <f>+'[6]จ่ายจากเงินรายรับ ก.ย.'!$Q$50+'[6]งบประมาณคงเหลือ ก.ย.'!$Q$46</f>
        <v>83260</v>
      </c>
      <c r="C11" s="26">
        <f t="shared" si="0"/>
        <v>65101</v>
      </c>
      <c r="D11" s="26">
        <f>+'[6]จ่ายจากเงินรายรับ ก.ย.'!$Q$50</f>
        <v>65101</v>
      </c>
      <c r="E11" s="26">
        <f>+'[2]จ่ายจากเงินรายรับ พ.ค.'!$R$50</f>
        <v>0</v>
      </c>
      <c r="F11" s="26">
        <f>+'[2]จ่ายจากเงินรายรับ พ.ค.'!$S$50</f>
        <v>0</v>
      </c>
      <c r="G11" s="26">
        <f>+'[2]จ่ายจากเงินรายรับ พ.ค.'!$U$50</f>
        <v>0</v>
      </c>
      <c r="H11" s="26">
        <f>+'[2]จ่ายจากเงินรายรับ พ.ค.'!$V$50</f>
        <v>0</v>
      </c>
      <c r="I11" s="67"/>
    </row>
    <row r="12" spans="1:9" ht="20.25" customHeight="1">
      <c r="A12" s="25" t="s">
        <v>32</v>
      </c>
      <c r="B12" s="26">
        <f>+'[6]จ่ายจากเงินรายรับ ก.ย.'!$Q$58+'[6]จ่ายจากเงินรายรับ ก.ย.'!$R$58+'[6]จ่ายจากเงินรายรับ ก.ย.'!$S$58+'[6]จ่ายจากเงินรายรับ ก.ย.'!$T$58+'[6]จ่ายจากเงินรายรับ ก.ย.'!$U$58+'[6]งบประมาณคงเหลือ ก.ย.'!$Q$53+'[6]งบประมาณคงเหลือ ก.ย.'!$R$53+'[6]งบประมาณคงเหลือ ก.ย.'!$S$53+'[6]งบประมาณคงเหลือ ก.ย.'!$T$53+'[6]งบประมาณคงเหลือ ก.ย.'!$U$53</f>
        <v>1210500</v>
      </c>
      <c r="C12" s="26">
        <f>+D12+E12+F12+G12+H12</f>
        <v>701208.4</v>
      </c>
      <c r="D12" s="26">
        <f>+'[6]จ่ายจากเงินรายรับ ก.ย.'!$Q$58</f>
        <v>234881.4</v>
      </c>
      <c r="E12" s="26">
        <f>+'[6]จ่ายจากเงินรายรับ ก.ย.'!$R$58</f>
        <v>116315</v>
      </c>
      <c r="F12" s="26">
        <f>+'[6]จ่ายจากเงินรายรับ ก.ย.'!$S$58</f>
        <v>258500</v>
      </c>
      <c r="G12" s="26">
        <f>+'[6]จ่ายจากเงินรายรับ ก.ย.'!$T$58</f>
        <v>91512</v>
      </c>
      <c r="H12" s="26">
        <f>+'[5]จ่ายจากเงินรายรับ พ.ค.'!$U$58</f>
        <v>0</v>
      </c>
      <c r="I12" s="67"/>
    </row>
    <row r="13" spans="1:9" ht="20.25" customHeight="1">
      <c r="A13" s="25" t="s">
        <v>49</v>
      </c>
      <c r="B13" s="26">
        <f>+'[6]จ่ายจากเงินรายรับ ก.ย.'!$Q$78+'[6]จ่ายจากเงินรายรับ ก.ย.'!$R$78+'[6]จ่ายจากเงินรายรับ ก.ย.'!$S$78+'[6]จ่ายจากเงินรายรับ ก.ย.'!$T$78+'[6]จ่ายจากเงินรายรับ ก.ย.'!$U$78+'[6]งบประมาณคงเหลือ ก.ย.'!$Q$72+'[6]งบประมาณคงเหลือ ก.ย.'!$R$72+'[6]งบประมาณคงเหลือ ก.ย.'!$S$72+'[6]งบประมาณคงเหลือ ก.ย.'!$T$72+'[6]งบประมาณคงเหลือ ก.ย.'!$U$72</f>
        <v>2292000</v>
      </c>
      <c r="C13" s="26">
        <f t="shared" si="0"/>
        <v>1343023.4</v>
      </c>
      <c r="D13" s="26">
        <f>+'[6]จ่ายจากเงินรายรับ ก.ย.'!$Q$78</f>
        <v>707541.13</v>
      </c>
      <c r="E13" s="26">
        <f>+'[6]จ่ายจากเงินรายรับ ก.ย.'!$R$78</f>
        <v>396304.27</v>
      </c>
      <c r="F13" s="26">
        <f>+'[6]จ่ายจากเงินรายรับ ก.ย.'!$S$78</f>
        <v>57101</v>
      </c>
      <c r="G13" s="26">
        <f>+'[6]จ่ายจากเงินรายรับ ก.ย.'!$T$78</f>
        <v>182077</v>
      </c>
      <c r="H13" s="26">
        <f>+'[5]จ่ายจากเงินรายรับ พ.ค.'!$U$78</f>
        <v>0</v>
      </c>
      <c r="I13" s="67"/>
    </row>
    <row r="14" spans="1:9" ht="20.25" customHeight="1">
      <c r="A14" s="25" t="s">
        <v>33</v>
      </c>
      <c r="B14" s="26">
        <f>+'[6]จ่ายจากเงินรายรับ ก.ย.'!$S$85+'[6]งบประมาณคงเหลือ ก.ย.'!$S$78</f>
        <v>35000</v>
      </c>
      <c r="C14" s="26">
        <f t="shared" si="0"/>
        <v>9059.71</v>
      </c>
      <c r="D14" s="26">
        <f>+'[6]จ่ายจากเงินรายรับ ก.ย.'!$Q$85</f>
        <v>0</v>
      </c>
      <c r="E14" s="26">
        <f>+'[5]งบประมาณคงเหลือ พ.ค.'!$R$78</f>
        <v>0</v>
      </c>
      <c r="F14" s="26">
        <f>+'[6]จ่ายจากเงินรายรับ ก.ย.'!$S$85</f>
        <v>9059.71</v>
      </c>
      <c r="G14" s="26">
        <f>+'[5]จ่ายจากเงินรายรับ พ.ค.'!$T$85</f>
        <v>0</v>
      </c>
      <c r="H14" s="26">
        <f>+'[5]จ่ายจากเงินรายรับ พ.ค.'!$U$85</f>
        <v>0</v>
      </c>
      <c r="I14" s="67"/>
    </row>
    <row r="15" spans="1:9" ht="20.25" customHeight="1">
      <c r="A15" s="25" t="s">
        <v>34</v>
      </c>
      <c r="B15" s="26">
        <f>+'[5]จ่ายจากเงินรายรับ พ.ค.'!$Q$91+'[5]จ่ายจากเงินรายรับ พ.ค.'!$R$91+'[5]จ่ายจากเงินรายรับ พ.ค.'!$S$91+'[5]จ่ายจากเงินรายรับ พ.ค.'!$T$91+'[5]จ่ายจากเงินรายรับ พ.ค.'!$U$91+'[5]งบประมาณคงเหลือ พ.ค.'!$Q$83+'[5]งบประมาณคงเหลือ พ.ค.'!$R$83+'[5]งบประมาณคงเหลือ พ.ค.'!$S$83+'[5]งบประมาณคงเหลือ พ.ค.'!$T$83+'[5]งบประมาณคงเหลือ พ.ค.'!$U$83</f>
        <v>0</v>
      </c>
      <c r="C15" s="26">
        <f t="shared" si="0"/>
        <v>0</v>
      </c>
      <c r="D15" s="26">
        <f>+'[6]จ่ายจากเงินรายรับ ก.ย.'!$Q$91</f>
        <v>0</v>
      </c>
      <c r="E15" s="26">
        <f>+'[5]งบประมาณคงเหลือ พ.ค.'!$R$83</f>
        <v>0</v>
      </c>
      <c r="F15" s="26">
        <f>+'[5]จ่ายจากเงินรายรับ พ.ค.'!$S$91</f>
        <v>0</v>
      </c>
      <c r="G15" s="26">
        <f>+'[6]จ่ายจากเงินรายรับ ก.ย.'!$T$91</f>
        <v>0</v>
      </c>
      <c r="H15" s="26">
        <f>+'[5]จ่ายจากเงินรายรับ พ.ค.'!$U$91</f>
        <v>0</v>
      </c>
      <c r="I15" s="67"/>
    </row>
    <row r="16" spans="1:9" ht="20.25" customHeight="1">
      <c r="A16" s="27" t="s">
        <v>36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67"/>
    </row>
    <row r="17" spans="1:9" ht="20.25" customHeight="1">
      <c r="A17" s="27" t="s">
        <v>103</v>
      </c>
      <c r="B17" s="26">
        <f>+'[6]จ่ายจากเงินรายรับ ก.ย.'!$Q$110+'[6]จ่ายจากเงินรายรับ ก.ย.'!$R$110+'[6]จ่ายจากเงินรายรับ ก.ย.'!$S$110+'[6]จ่ายจากเงินรายรับ ก.ย.'!$T$110+'[6]จ่ายจากเงินรายรับ ก.ย.'!$U$110+'[6]งบประมาณคงเหลือ ก.ย.'!$Q$101+'[6]งบประมาณคงเหลือ ก.ย.'!$R$101+'[6]งบประมาณคงเหลือ ก.ย.'!$S$101+'[6]งบประมาณคงเหลือ ก.ย.'!$T$101+'[6]งบประมาณคงเหลือ ก.ย.'!$U$101</f>
        <v>2463705</v>
      </c>
      <c r="C17" s="26">
        <f t="shared" si="0"/>
        <v>2438248</v>
      </c>
      <c r="D17" s="26">
        <f>+'[6]จ่ายจากเงินรายรับ ก.ย.'!$Q$110</f>
        <v>2429848</v>
      </c>
      <c r="E17" s="26">
        <f>+'[6]จ่ายจากเงินรายรับ ก.ย.'!$R$110</f>
        <v>0</v>
      </c>
      <c r="F17" s="26">
        <f>+'[6]จ่ายจากเงินรายรับ ก.ย.'!$S$110</f>
        <v>0</v>
      </c>
      <c r="G17" s="26">
        <f>+'[6]จ่ายจากเงินรายรับ ก.ย.'!$T$110</f>
        <v>8400</v>
      </c>
      <c r="H17" s="26">
        <f>+'[5]จ่ายจากเงินรายรับ พ.ค.'!$U$110</f>
        <v>0</v>
      </c>
      <c r="I17" s="67"/>
    </row>
    <row r="18" spans="1:9" ht="20.25" customHeight="1">
      <c r="A18" s="27" t="s">
        <v>173</v>
      </c>
      <c r="B18" s="26">
        <f>+'[6]จ่ายจากเงินรายรับ ก.ย.'!$Q$124+'[6]จ่ายจากเงินรายรับ ก.ย.'!$R$124+'[6]จ่ายจากเงินรายรับ ก.ย.'!$S$124+'[6]จ่ายจากเงินรายรับ ก.ย.'!$T$124+'[6]จ่ายจากเงินรายรับ ก.ย.'!$U$124+'[6]งบประมาณคงเหลือ ก.ย.'!$Q$114+'[6]งบประมาณคงเหลือ ก.ย.'!$R$114+'[6]งบประมาณคงเหลือ ก.ย.'!$S$114+'[6]งบประมาณคงเหลือ ก.ย.'!$T$114+'[6]งบประมาณคงเหลือ ก.ย.'!$U$114</f>
        <v>1410000</v>
      </c>
      <c r="C18" s="26">
        <f t="shared" si="0"/>
        <v>1410000</v>
      </c>
      <c r="D18" s="26">
        <f>+'[6]จ่ายจากเงินรายรับ ก.ย.'!$Q$124</f>
        <v>150000</v>
      </c>
      <c r="E18" s="26">
        <f>+'[6]จ่ายจากเงินรายรับ ก.ย.'!$R$124</f>
        <v>1079000</v>
      </c>
      <c r="F18" s="26">
        <f>+'[6]จ่ายจากเงินรายรับ ก.ย.'!$S$124</f>
        <v>181000</v>
      </c>
      <c r="G18" s="26">
        <f>+'[6]จ่ายจากเงินรายรับ ก.ย.'!$T$124</f>
        <v>0</v>
      </c>
      <c r="H18" s="26">
        <f>+'[4]จ่ายจากเงินรายรับ ม.ค.'!$U$124</f>
        <v>0</v>
      </c>
      <c r="I18" s="67"/>
    </row>
    <row r="19" spans="1:9" ht="20.25" customHeight="1">
      <c r="A19" s="28" t="s">
        <v>11</v>
      </c>
      <c r="B19" s="29">
        <f>SUM(B8:B18)</f>
        <v>9017165</v>
      </c>
      <c r="C19" s="29">
        <f>SUM(C8:C18)</f>
        <v>7195292.51</v>
      </c>
      <c r="D19" s="29">
        <f>SUM(D7:D18)</f>
        <v>4816023.529999999</v>
      </c>
      <c r="E19" s="29">
        <f>SUM(E7:E18)</f>
        <v>1591619.27</v>
      </c>
      <c r="F19" s="29">
        <f>SUM(F7:F18)</f>
        <v>505660.71</v>
      </c>
      <c r="G19" s="66">
        <f>SUM(G7:G18)</f>
        <v>281989</v>
      </c>
      <c r="H19" s="66">
        <f>SUM(H7:H18)</f>
        <v>0</v>
      </c>
      <c r="I19" s="67"/>
    </row>
    <row r="20" spans="1:9" ht="20.25" customHeight="1">
      <c r="A20" s="30" t="s">
        <v>39</v>
      </c>
      <c r="B20" s="24"/>
      <c r="C20" s="24"/>
      <c r="D20" s="24"/>
      <c r="E20" s="24"/>
      <c r="F20" s="24"/>
      <c r="G20" s="65"/>
      <c r="H20" s="65"/>
      <c r="I20" s="67"/>
    </row>
    <row r="21" spans="1:9" ht="20.25" customHeight="1">
      <c r="A21" s="32" t="s">
        <v>84</v>
      </c>
      <c r="B21" s="26"/>
      <c r="C21" s="26"/>
      <c r="D21" s="26"/>
      <c r="E21" s="26"/>
      <c r="F21" s="26"/>
      <c r="G21" s="65"/>
      <c r="H21" s="65"/>
      <c r="I21" s="67"/>
    </row>
    <row r="22" spans="1:9" ht="20.25" customHeight="1">
      <c r="A22" s="16" t="s">
        <v>84</v>
      </c>
      <c r="B22" s="37"/>
      <c r="C22" s="37"/>
      <c r="D22" s="37"/>
      <c r="E22" s="37"/>
      <c r="F22" s="37"/>
      <c r="G22" s="65"/>
      <c r="H22" s="65"/>
      <c r="I22" s="67"/>
    </row>
    <row r="23" spans="1:9" ht="20.25" customHeight="1">
      <c r="A23" s="17" t="s">
        <v>11</v>
      </c>
      <c r="B23" s="29"/>
      <c r="C23" s="29"/>
      <c r="D23" s="29"/>
      <c r="E23" s="29"/>
      <c r="F23" s="29"/>
      <c r="G23" s="66"/>
      <c r="H23" s="66"/>
      <c r="I23" s="67"/>
    </row>
    <row r="24" spans="1:9" ht="9.75" customHeight="1">
      <c r="A24" s="16"/>
      <c r="B24" s="16"/>
      <c r="C24" s="16"/>
      <c r="D24" s="16"/>
      <c r="E24" s="16"/>
      <c r="F24" s="16"/>
      <c r="G24" s="67"/>
      <c r="H24" s="67"/>
      <c r="I24" s="67"/>
    </row>
    <row r="25" spans="1:9" ht="9.75" customHeight="1">
      <c r="A25" s="16"/>
      <c r="B25" s="16"/>
      <c r="C25" s="16"/>
      <c r="D25" s="16"/>
      <c r="E25" s="16"/>
      <c r="F25" s="16"/>
      <c r="G25" s="67"/>
      <c r="H25" s="67"/>
      <c r="I25" s="67"/>
    </row>
    <row r="26" spans="1:9" ht="21.75" customHeight="1">
      <c r="A26" s="36" t="s">
        <v>41</v>
      </c>
      <c r="B26" s="20" t="s">
        <v>42</v>
      </c>
      <c r="C26" s="16"/>
      <c r="D26" s="16"/>
      <c r="E26" s="16"/>
      <c r="F26" s="16"/>
      <c r="G26" s="67"/>
      <c r="H26" s="67"/>
      <c r="I26" s="67"/>
    </row>
    <row r="27" spans="1:9" ht="21" customHeight="1">
      <c r="A27" s="20"/>
      <c r="B27" s="20" t="s">
        <v>43</v>
      </c>
      <c r="C27" s="16"/>
      <c r="D27" s="16"/>
      <c r="E27" s="16"/>
      <c r="F27" s="16"/>
      <c r="G27" s="67"/>
      <c r="H27" s="67"/>
      <c r="I27" s="67"/>
    </row>
    <row r="28" spans="7:9" ht="23.25">
      <c r="G28" s="67"/>
      <c r="H28" s="67"/>
      <c r="I28" s="67"/>
    </row>
    <row r="29" spans="7:9" ht="23.25">
      <c r="G29" s="67"/>
      <c r="H29" s="67"/>
      <c r="I29" s="67"/>
    </row>
    <row r="30" spans="7:9" ht="23.25">
      <c r="G30" s="67"/>
      <c r="H30" s="67"/>
      <c r="I30" s="67"/>
    </row>
    <row r="31" spans="7:9" ht="23.25">
      <c r="G31" s="67"/>
      <c r="H31" s="67"/>
      <c r="I31" s="67"/>
    </row>
  </sheetData>
  <mergeCells count="4">
    <mergeCell ref="A4:F4"/>
    <mergeCell ref="A1:H1"/>
    <mergeCell ref="A2:H2"/>
    <mergeCell ref="A3:F3"/>
  </mergeCells>
  <printOptions/>
  <pageMargins left="0.7086614173228347" right="0.5511811023622047" top="0.3937007874015748" bottom="0.3937007874015748" header="0.35433070866141736" footer="0.3543307086614173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B1">
      <selection activeCell="E18" sqref="E18"/>
    </sheetView>
  </sheetViews>
  <sheetFormatPr defaultColWidth="9.140625" defaultRowHeight="21.75"/>
  <cols>
    <col min="1" max="1" width="38.7109375" style="0" customWidth="1"/>
    <col min="2" max="2" width="25.00390625" style="1" customWidth="1"/>
    <col min="3" max="3" width="23.140625" style="1" customWidth="1"/>
    <col min="4" max="4" width="25.7109375" style="1" customWidth="1"/>
    <col min="5" max="5" width="29.57421875" style="1" customWidth="1"/>
  </cols>
  <sheetData>
    <row r="1" spans="1:7" ht="23.25">
      <c r="A1" s="532" t="s">
        <v>153</v>
      </c>
      <c r="B1" s="532"/>
      <c r="C1" s="532"/>
      <c r="D1" s="532"/>
      <c r="E1" s="532"/>
      <c r="F1" s="532"/>
      <c r="G1" s="532"/>
    </row>
    <row r="2" spans="1:7" ht="23.25">
      <c r="A2" s="532" t="s">
        <v>152</v>
      </c>
      <c r="B2" s="532"/>
      <c r="C2" s="532"/>
      <c r="D2" s="532"/>
      <c r="E2" s="532"/>
      <c r="F2" s="532"/>
      <c r="G2" s="532"/>
    </row>
    <row r="3" spans="1:6" s="16" customFormat="1" ht="23.25">
      <c r="A3" s="532" t="s">
        <v>196</v>
      </c>
      <c r="B3" s="532"/>
      <c r="C3" s="532"/>
      <c r="D3" s="532"/>
      <c r="E3" s="532"/>
      <c r="F3" s="532"/>
    </row>
    <row r="4" spans="1:7" ht="9.75" customHeight="1">
      <c r="A4" s="532"/>
      <c r="B4" s="532"/>
      <c r="C4" s="532"/>
      <c r="D4" s="532"/>
      <c r="E4" s="532"/>
      <c r="F4" s="532"/>
      <c r="G4" s="38"/>
    </row>
    <row r="5" spans="1:7" ht="22.5" customHeight="1">
      <c r="A5" s="18" t="s">
        <v>21</v>
      </c>
      <c r="B5" s="71" t="s">
        <v>22</v>
      </c>
      <c r="C5" s="71" t="s">
        <v>11</v>
      </c>
      <c r="D5" s="71" t="s">
        <v>23</v>
      </c>
      <c r="E5" s="71" t="s">
        <v>71</v>
      </c>
      <c r="F5" s="45"/>
      <c r="G5" s="46"/>
    </row>
    <row r="6" spans="1:7" ht="22.5" customHeight="1">
      <c r="A6" s="21"/>
      <c r="B6" s="72"/>
      <c r="C6" s="72"/>
      <c r="D6" s="72"/>
      <c r="E6" s="72" t="s">
        <v>72</v>
      </c>
      <c r="F6" s="45"/>
      <c r="G6" s="46"/>
    </row>
    <row r="7" spans="1:7" ht="20.25" customHeight="1">
      <c r="A7" s="23" t="s">
        <v>27</v>
      </c>
      <c r="B7" s="24"/>
      <c r="C7" s="24"/>
      <c r="D7" s="24"/>
      <c r="E7" s="24"/>
      <c r="F7" s="32"/>
      <c r="G7" s="2"/>
    </row>
    <row r="8" spans="1:7" ht="20.25" customHeight="1">
      <c r="A8" s="25" t="s">
        <v>28</v>
      </c>
      <c r="B8" s="26">
        <v>0</v>
      </c>
      <c r="C8" s="26">
        <f>D8+E8</f>
        <v>0</v>
      </c>
      <c r="D8" s="26">
        <v>0</v>
      </c>
      <c r="E8" s="26">
        <v>0</v>
      </c>
      <c r="F8" s="32"/>
      <c r="G8" s="2"/>
    </row>
    <row r="9" spans="1:7" ht="20.25" customHeight="1">
      <c r="A9" s="25" t="s">
        <v>29</v>
      </c>
      <c r="B9" s="26">
        <v>0</v>
      </c>
      <c r="C9" s="26">
        <f aca="true" t="shared" si="0" ref="C9:C18">D9+E9</f>
        <v>0</v>
      </c>
      <c r="D9" s="26">
        <v>0</v>
      </c>
      <c r="E9" s="26">
        <v>0</v>
      </c>
      <c r="F9" s="32"/>
      <c r="G9" s="2"/>
    </row>
    <row r="10" spans="1:7" ht="20.25" customHeight="1">
      <c r="A10" s="25" t="s">
        <v>30</v>
      </c>
      <c r="B10" s="26">
        <v>0</v>
      </c>
      <c r="C10" s="26">
        <f t="shared" si="0"/>
        <v>0</v>
      </c>
      <c r="D10" s="26">
        <v>0</v>
      </c>
      <c r="E10" s="26">
        <v>0</v>
      </c>
      <c r="F10" s="32"/>
      <c r="G10" s="2"/>
    </row>
    <row r="11" spans="1:7" ht="20.25" customHeight="1">
      <c r="A11" s="25" t="s">
        <v>31</v>
      </c>
      <c r="B11" s="26">
        <v>0</v>
      </c>
      <c r="C11" s="26">
        <f t="shared" si="0"/>
        <v>0</v>
      </c>
      <c r="D11" s="26">
        <v>0</v>
      </c>
      <c r="E11" s="26">
        <v>0</v>
      </c>
      <c r="F11" s="32"/>
      <c r="G11" s="2"/>
    </row>
    <row r="12" spans="1:7" ht="20.25" customHeight="1">
      <c r="A12" s="25" t="s">
        <v>32</v>
      </c>
      <c r="B12" s="26">
        <f>+'[6]จ่ายจากเงินรายรับ ก.ย.'!$V$58+'[6]จ่ายจากเงินรายรับ ก.ย.'!$W$58+'[6]งบประมาณคงเหลือ ก.ย.'!$V$53+'[6]งบประมาณคงเหลือ ก.ย.'!$W$53</f>
        <v>615000</v>
      </c>
      <c r="C12" s="26">
        <f t="shared" si="0"/>
        <v>483801</v>
      </c>
      <c r="D12" s="26">
        <f>+'[4]จ่ายจากเงินรายรับ ม.ค.'!$V$58</f>
        <v>0</v>
      </c>
      <c r="E12" s="26">
        <f>+'[6]จ่ายจากเงินรายรับ ก.ย.'!$W$58</f>
        <v>483801</v>
      </c>
      <c r="F12" s="32"/>
      <c r="G12" s="2"/>
    </row>
    <row r="13" spans="1:7" ht="20.25" customHeight="1">
      <c r="A13" s="25" t="s">
        <v>49</v>
      </c>
      <c r="B13" s="144">
        <f>+'[6]จ่ายจากเงินรายรับ ก.ย.'!$V$78+'[6]จ่ายจากเงินรายรับ ก.ย.'!$W$78+'[6]งบประมาณคงเหลือ ก.ย.'!$V$72+'[6]งบประมาณคงเหลือ ก.ย.'!$W$72</f>
        <v>46000</v>
      </c>
      <c r="C13" s="26">
        <f t="shared" si="0"/>
        <v>5483.7</v>
      </c>
      <c r="D13" s="26">
        <f>+'[4]จ่ายจากเงินรายรับ ม.ค.'!$V$78</f>
        <v>0</v>
      </c>
      <c r="E13" s="26">
        <f>+'[6]จ่ายจากเงินรายรับ ก.ย.'!$W$78</f>
        <v>5483.7</v>
      </c>
      <c r="F13" s="32"/>
      <c r="G13" s="2"/>
    </row>
    <row r="14" spans="1:7" ht="20.25" customHeight="1">
      <c r="A14" s="25" t="s">
        <v>33</v>
      </c>
      <c r="B14" s="26">
        <v>0</v>
      </c>
      <c r="C14" s="26">
        <f t="shared" si="0"/>
        <v>0</v>
      </c>
      <c r="D14" s="26">
        <v>0</v>
      </c>
      <c r="E14" s="26">
        <v>0</v>
      </c>
      <c r="F14" s="32"/>
      <c r="G14" s="2"/>
    </row>
    <row r="15" spans="1:7" ht="20.25" customHeight="1">
      <c r="A15" s="25" t="s">
        <v>34</v>
      </c>
      <c r="B15" s="26">
        <f>+'[6]จ่ายจากเงินรายรับ ก.ย.'!$V$91+'[6]จ่ายจากเงินรายรับ ก.ย.'!$W$91+'[6]งบประมาณคงเหลือ ก.ย.'!$V$83+'[6]งบประมาณคงเหลือ ก.ย.'!$W$83</f>
        <v>400000</v>
      </c>
      <c r="C15" s="26">
        <f t="shared" si="0"/>
        <v>400000</v>
      </c>
      <c r="D15" s="26">
        <v>0</v>
      </c>
      <c r="E15" s="26">
        <f>+'[6]จ่ายจากเงินรายรับ ก.ย.'!$W$91</f>
        <v>400000</v>
      </c>
      <c r="F15" s="32"/>
      <c r="G15" s="2"/>
    </row>
    <row r="16" spans="1:7" ht="20.25" customHeight="1">
      <c r="A16" s="27" t="s">
        <v>36</v>
      </c>
      <c r="B16" s="26">
        <v>0</v>
      </c>
      <c r="C16" s="26">
        <f t="shared" si="0"/>
        <v>0</v>
      </c>
      <c r="D16" s="26">
        <v>0</v>
      </c>
      <c r="E16" s="26">
        <v>0</v>
      </c>
      <c r="F16" s="32"/>
      <c r="G16" s="2"/>
    </row>
    <row r="17" spans="1:7" ht="20.25" customHeight="1">
      <c r="A17" s="27" t="s">
        <v>37</v>
      </c>
      <c r="B17" s="26">
        <f>+'[6]จ่ายจากเงินรายรับ ก.ย.'!$V$110+'[6]จ่ายจากเงินรายรับ ก.ย.'!$W$110+'[6]งบประมาณคงเหลือ ก.ย.'!$V$101+'[6]งบประมาณคงเหลือ ก.ย.'!$W$101</f>
        <v>0</v>
      </c>
      <c r="C17" s="26">
        <f t="shared" si="0"/>
        <v>0</v>
      </c>
      <c r="D17" s="26">
        <f>+'[4]จ่ายจากเงินรายรับ ม.ค.'!$V$110</f>
        <v>0</v>
      </c>
      <c r="E17" s="26">
        <f>+'[6]จ่ายจากเงินรายรับ ก.ย.'!$W$110</f>
        <v>0</v>
      </c>
      <c r="F17" s="32"/>
      <c r="G17" s="2"/>
    </row>
    <row r="18" spans="1:7" ht="20.25" customHeight="1">
      <c r="A18" s="27" t="s">
        <v>38</v>
      </c>
      <c r="B18" s="26">
        <f>+'[4]จ่ายจากเงินรายรับ ม.ค.'!$V$124+'[4]จ่ายจากเงินรายรับ ม.ค.'!$W$124+'[4]งบประมาณคงเหลือ ม.ค.'!$V$114+'[4]งบประมาณคงเหลือ ม.ค.'!$W$114</f>
        <v>0</v>
      </c>
      <c r="C18" s="26">
        <f t="shared" si="0"/>
        <v>0</v>
      </c>
      <c r="D18" s="26">
        <f>+'[4]จ่ายจากเงินรายรับ ม.ค.'!$V$124</f>
        <v>0</v>
      </c>
      <c r="E18" s="26">
        <f>+'[5]จ่ายจากเงินรายรับ พ.ค.'!$W$124</f>
        <v>0</v>
      </c>
      <c r="F18" s="32"/>
      <c r="G18" s="2"/>
    </row>
    <row r="19" spans="1:7" ht="20.25" customHeight="1">
      <c r="A19" s="28" t="s">
        <v>11</v>
      </c>
      <c r="B19" s="29">
        <f>SUM(B7:B18)</f>
        <v>1061000</v>
      </c>
      <c r="C19" s="29">
        <f>SUM(C8:C18)</f>
        <v>889284.7</v>
      </c>
      <c r="D19" s="29">
        <f>SUM(D15:D18)</f>
        <v>0</v>
      </c>
      <c r="E19" s="29">
        <f>SUM(E8:E18)</f>
        <v>889284.7</v>
      </c>
      <c r="F19" s="32"/>
      <c r="G19" s="2"/>
    </row>
    <row r="20" spans="1:7" ht="19.5" customHeight="1">
      <c r="A20" s="30" t="s">
        <v>39</v>
      </c>
      <c r="B20" s="24"/>
      <c r="C20" s="24"/>
      <c r="D20" s="24"/>
      <c r="E20" s="24"/>
      <c r="F20" s="32"/>
      <c r="G20" s="2"/>
    </row>
    <row r="21" spans="1:7" ht="19.5" customHeight="1">
      <c r="A21" s="32" t="s">
        <v>40</v>
      </c>
      <c r="B21" s="26"/>
      <c r="C21" s="26"/>
      <c r="D21" s="26"/>
      <c r="E21" s="26"/>
      <c r="F21" s="32"/>
      <c r="G21" s="2"/>
    </row>
    <row r="22" spans="1:7" ht="19.5" customHeight="1">
      <c r="A22" s="16" t="s">
        <v>40</v>
      </c>
      <c r="B22" s="37"/>
      <c r="C22" s="37"/>
      <c r="D22" s="37"/>
      <c r="E22" s="37"/>
      <c r="F22" s="32"/>
      <c r="G22" s="2"/>
    </row>
    <row r="23" spans="1:7" ht="19.5" customHeight="1">
      <c r="A23" s="17" t="s">
        <v>11</v>
      </c>
      <c r="B23" s="29"/>
      <c r="C23" s="29"/>
      <c r="D23" s="29"/>
      <c r="E23" s="29"/>
      <c r="F23" s="32"/>
      <c r="G23" s="2"/>
    </row>
    <row r="24" spans="1:6" ht="9.75" customHeight="1">
      <c r="A24" s="16"/>
      <c r="B24" s="73"/>
      <c r="C24" s="73"/>
      <c r="D24" s="73"/>
      <c r="E24" s="73"/>
      <c r="F24" s="16"/>
    </row>
    <row r="25" spans="1:6" ht="9.75" customHeight="1">
      <c r="A25" s="16"/>
      <c r="B25" s="73"/>
      <c r="C25" s="73"/>
      <c r="D25" s="73"/>
      <c r="E25" s="73"/>
      <c r="F25" s="16"/>
    </row>
    <row r="26" spans="1:6" ht="27.75" customHeight="1">
      <c r="A26" s="36" t="s">
        <v>41</v>
      </c>
      <c r="B26" s="143" t="s">
        <v>42</v>
      </c>
      <c r="C26" s="73"/>
      <c r="D26" s="73"/>
      <c r="E26" s="73"/>
      <c r="F26" s="16"/>
    </row>
    <row r="27" spans="1:6" ht="27.75" customHeight="1">
      <c r="A27" s="20"/>
      <c r="B27" s="143" t="s">
        <v>43</v>
      </c>
      <c r="C27" s="73"/>
      <c r="D27" s="73"/>
      <c r="E27" s="73"/>
      <c r="F27" s="16"/>
    </row>
  </sheetData>
  <mergeCells count="4">
    <mergeCell ref="A1:G1"/>
    <mergeCell ref="A2:G2"/>
    <mergeCell ref="A4:F4"/>
    <mergeCell ref="A3:F3"/>
  </mergeCells>
  <printOptions/>
  <pageMargins left="0.7086614173228347" right="0.5511811023622047" top="0.3937007874015748" bottom="0.3937007874015748" header="0.5118110236220472" footer="0.35433070866141736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">
      <selection activeCell="F16" sqref="F16"/>
    </sheetView>
  </sheetViews>
  <sheetFormatPr defaultColWidth="9.140625" defaultRowHeight="21.75"/>
  <cols>
    <col min="1" max="1" width="33.7109375" style="0" customWidth="1"/>
    <col min="2" max="2" width="16.00390625" style="0" customWidth="1"/>
    <col min="3" max="3" width="14.7109375" style="0" customWidth="1"/>
    <col min="4" max="4" width="20.140625" style="0" customWidth="1"/>
    <col min="5" max="5" width="16.140625" style="0" customWidth="1"/>
    <col min="6" max="6" width="19.00390625" style="0" customWidth="1"/>
    <col min="7" max="7" width="22.8515625" style="0" customWidth="1"/>
  </cols>
  <sheetData>
    <row r="1" spans="1:7" ht="23.25">
      <c r="A1" s="532" t="s">
        <v>153</v>
      </c>
      <c r="B1" s="532"/>
      <c r="C1" s="532"/>
      <c r="D1" s="532"/>
      <c r="E1" s="532"/>
      <c r="F1" s="532"/>
      <c r="G1" s="532"/>
    </row>
    <row r="2" spans="1:7" ht="23.25">
      <c r="A2" s="532" t="s">
        <v>125</v>
      </c>
      <c r="B2" s="532"/>
      <c r="C2" s="532"/>
      <c r="D2" s="532"/>
      <c r="E2" s="532"/>
      <c r="F2" s="532"/>
      <c r="G2" s="532"/>
    </row>
    <row r="3" spans="1:6" s="16" customFormat="1" ht="23.25">
      <c r="A3" s="532" t="s">
        <v>196</v>
      </c>
      <c r="B3" s="532"/>
      <c r="C3" s="532"/>
      <c r="D3" s="532"/>
      <c r="E3" s="532"/>
      <c r="F3" s="532"/>
    </row>
    <row r="4" spans="1:6" ht="9.75" customHeight="1">
      <c r="A4" s="533"/>
      <c r="B4" s="533"/>
      <c r="C4" s="533"/>
      <c r="D4" s="533"/>
      <c r="E4" s="533"/>
      <c r="F4" s="533"/>
    </row>
    <row r="5" spans="1:7" ht="22.5" customHeight="1">
      <c r="A5" s="18" t="s">
        <v>21</v>
      </c>
      <c r="B5" s="19" t="s">
        <v>22</v>
      </c>
      <c r="C5" s="19" t="s">
        <v>11</v>
      </c>
      <c r="D5" s="19" t="s">
        <v>23</v>
      </c>
      <c r="E5" s="19" t="s">
        <v>73</v>
      </c>
      <c r="F5" s="19" t="s">
        <v>74</v>
      </c>
      <c r="G5" s="39" t="s">
        <v>75</v>
      </c>
    </row>
    <row r="6" spans="1:7" ht="22.5" customHeight="1">
      <c r="A6" s="21"/>
      <c r="B6" s="22"/>
      <c r="C6" s="47"/>
      <c r="D6" s="22" t="s">
        <v>76</v>
      </c>
      <c r="E6" s="22" t="s">
        <v>77</v>
      </c>
      <c r="F6" s="22" t="s">
        <v>78</v>
      </c>
      <c r="G6" s="40" t="s">
        <v>79</v>
      </c>
    </row>
    <row r="7" spans="1:7" ht="19.5" customHeight="1">
      <c r="A7" s="23" t="s">
        <v>27</v>
      </c>
      <c r="B7" s="48"/>
      <c r="C7" s="48"/>
      <c r="D7" s="48"/>
      <c r="E7" s="48"/>
      <c r="F7" s="48"/>
      <c r="G7" s="24"/>
    </row>
    <row r="8" spans="1:8" ht="19.5" customHeight="1">
      <c r="A8" s="25" t="s">
        <v>28</v>
      </c>
      <c r="B8" s="49">
        <v>0</v>
      </c>
      <c r="C8" s="49">
        <f>D8+E8+F8+G8</f>
        <v>0</v>
      </c>
      <c r="D8" s="49">
        <v>0</v>
      </c>
      <c r="E8" s="49">
        <v>0</v>
      </c>
      <c r="F8" s="49">
        <v>0</v>
      </c>
      <c r="G8" s="65">
        <v>0</v>
      </c>
      <c r="H8" s="64"/>
    </row>
    <row r="9" spans="1:8" ht="19.5" customHeight="1">
      <c r="A9" s="25" t="s">
        <v>29</v>
      </c>
      <c r="B9" s="49">
        <v>0</v>
      </c>
      <c r="C9" s="49">
        <f aca="true" t="shared" si="0" ref="C9:C19">D9+E9+F9+G9</f>
        <v>0</v>
      </c>
      <c r="D9" s="49">
        <v>0</v>
      </c>
      <c r="E9" s="49">
        <v>0</v>
      </c>
      <c r="F9" s="49">
        <v>0</v>
      </c>
      <c r="G9" s="65">
        <v>0</v>
      </c>
      <c r="H9" s="64"/>
    </row>
    <row r="10" spans="1:8" ht="19.5" customHeight="1">
      <c r="A10" s="25" t="s">
        <v>30</v>
      </c>
      <c r="B10" s="49">
        <v>0</v>
      </c>
      <c r="C10" s="49">
        <f t="shared" si="0"/>
        <v>0</v>
      </c>
      <c r="D10" s="49">
        <v>0</v>
      </c>
      <c r="E10" s="49">
        <v>0</v>
      </c>
      <c r="F10" s="49">
        <v>0</v>
      </c>
      <c r="G10" s="65">
        <v>0</v>
      </c>
      <c r="H10" s="64"/>
    </row>
    <row r="11" spans="1:8" ht="19.5" customHeight="1">
      <c r="A11" s="25" t="s">
        <v>31</v>
      </c>
      <c r="B11" s="49">
        <v>0</v>
      </c>
      <c r="C11" s="49">
        <f t="shared" si="0"/>
        <v>0</v>
      </c>
      <c r="D11" s="49">
        <v>0</v>
      </c>
      <c r="E11" s="49">
        <v>0</v>
      </c>
      <c r="F11" s="49">
        <v>0</v>
      </c>
      <c r="G11" s="65">
        <v>0</v>
      </c>
      <c r="H11" s="64"/>
    </row>
    <row r="12" spans="1:8" ht="19.5" customHeight="1">
      <c r="A12" s="25" t="s">
        <v>32</v>
      </c>
      <c r="B12" s="49">
        <f>+'[6]จ่ายจากเงินรายรับ ก.ย.'!$X$58+'[6]จ่ายจากเงินรายรับ ก.ย.'!$Y$58+'[6]จ่ายจากเงินรายรับ ก.ย.'!$Z$58+'[6]งบประมาณคงเหลือ ก.ย.'!$X$53+'[6]งบประมาณคงเหลือ ก.ย.'!$Y$53+'[6]งบประมาณคงเหลือ ก.ย.'!$Z$53</f>
        <v>694500</v>
      </c>
      <c r="C12" s="26">
        <f>D12+E12+F12+G12</f>
        <v>692580</v>
      </c>
      <c r="D12" s="50">
        <v>0</v>
      </c>
      <c r="E12" s="26">
        <f>+'[6]จ่ายจากเงินรายรับ ก.ย.'!$X$58</f>
        <v>204895</v>
      </c>
      <c r="F12" s="26">
        <f>+'[6]จ่ายจากเงินรายรับ ก.ย.'!$Y$58</f>
        <v>487685</v>
      </c>
      <c r="G12" s="65">
        <v>0</v>
      </c>
      <c r="H12" s="64"/>
    </row>
    <row r="13" spans="1:8" ht="19.5" customHeight="1">
      <c r="A13" s="25" t="s">
        <v>49</v>
      </c>
      <c r="B13" s="49">
        <f>+'[6]จ่ายจากเงินรายรับ ก.ย.'!$X$78+'[6]จ่ายจากเงินรายรับ ก.ย.'!$Y$78+'[6]จ่ายจากเงินรายรับ ก.ย.'!$Z$78+'[6]งบประมาณคงเหลือ ก.ย.'!$X$72+'[6]งบประมาณคงเหลือ ก.ย.'!$Y$72+'[6]งบประมาณคงเหลือ ก.ย.'!$Z$72</f>
        <v>20000</v>
      </c>
      <c r="C13" s="26">
        <f t="shared" si="0"/>
        <v>0</v>
      </c>
      <c r="D13" s="50">
        <v>0</v>
      </c>
      <c r="E13" s="26">
        <f>+'[5]จ่ายจากเงินรายรับ พ.ค.'!$X$78</f>
        <v>0</v>
      </c>
      <c r="F13" s="26">
        <f>+'[5]จ่ายจากเงินรายรับ พ.ค.'!$Y$78</f>
        <v>0</v>
      </c>
      <c r="G13" s="65">
        <v>0</v>
      </c>
      <c r="H13" s="64"/>
    </row>
    <row r="14" spans="1:8" ht="19.5" customHeight="1">
      <c r="A14" s="25" t="s">
        <v>33</v>
      </c>
      <c r="B14" s="49">
        <v>0</v>
      </c>
      <c r="C14" s="26">
        <f t="shared" si="0"/>
        <v>0</v>
      </c>
      <c r="D14" s="50">
        <v>0</v>
      </c>
      <c r="E14" s="26">
        <v>0</v>
      </c>
      <c r="F14" s="26">
        <v>0</v>
      </c>
      <c r="G14" s="65">
        <v>0</v>
      </c>
      <c r="H14" s="64"/>
    </row>
    <row r="15" spans="1:8" ht="19.5" customHeight="1">
      <c r="A15" s="25" t="s">
        <v>34</v>
      </c>
      <c r="B15" s="49">
        <f>+'[6]จ่ายจากเงินรายรับ ก.ย.'!$X$91+'[6]จ่ายจากเงินรายรับ ก.ย.'!$Y$91+'[6]จ่ายจากเงินรายรับ ก.ย.'!$Z$91+'[6]งบประมาณคงเหลือ ก.ย.'!$X$83+'[6]งบประมาณคงเหลือ ก.ย.'!$Y$83+'[6]งบประมาณคงเหลือ ก.ย.'!$Z$83</f>
        <v>225000</v>
      </c>
      <c r="C15" s="26">
        <f t="shared" si="0"/>
        <v>225000</v>
      </c>
      <c r="D15" s="50">
        <v>0</v>
      </c>
      <c r="E15" s="26">
        <f>+'[6]จ่ายจากเงินรายรับ ก.ย.'!$X$91</f>
        <v>120000</v>
      </c>
      <c r="F15" s="26">
        <f>+'[6]จ่ายจากเงินรายรับ ก.ย.'!$Y$91</f>
        <v>105000</v>
      </c>
      <c r="G15" s="65">
        <v>0</v>
      </c>
      <c r="H15" s="64"/>
    </row>
    <row r="16" spans="1:8" ht="19.5" customHeight="1">
      <c r="A16" s="25" t="s">
        <v>35</v>
      </c>
      <c r="B16" s="49">
        <v>0</v>
      </c>
      <c r="C16" s="26">
        <f t="shared" si="0"/>
        <v>0</v>
      </c>
      <c r="D16" s="50">
        <v>0</v>
      </c>
      <c r="E16" s="26">
        <v>0</v>
      </c>
      <c r="F16" s="26">
        <v>0</v>
      </c>
      <c r="G16" s="65">
        <v>0</v>
      </c>
      <c r="H16" s="64"/>
    </row>
    <row r="17" spans="1:8" ht="19.5" customHeight="1">
      <c r="A17" s="27" t="s">
        <v>36</v>
      </c>
      <c r="B17" s="49">
        <v>0</v>
      </c>
      <c r="C17" s="26">
        <f t="shared" si="0"/>
        <v>0</v>
      </c>
      <c r="D17" s="50">
        <v>0</v>
      </c>
      <c r="E17" s="26">
        <v>0</v>
      </c>
      <c r="F17" s="26">
        <v>0</v>
      </c>
      <c r="G17" s="65">
        <v>0</v>
      </c>
      <c r="H17" s="64"/>
    </row>
    <row r="18" spans="1:8" ht="19.5" customHeight="1">
      <c r="A18" s="27" t="s">
        <v>37</v>
      </c>
      <c r="B18" s="49">
        <f>+'[4]จ่ายจากเงินรายรับ ม.ค.'!$X$110+'[4]จ่ายจากเงินรายรับ ม.ค.'!$Y$110+'[4]จ่ายจากเงินรายรับ ม.ค.'!$Z$110+'[4]งบประมาณคงเหลือ ม.ค.'!$X$101+'[4]งบประมาณคงเหลือ ม.ค.'!$Y$101+'[4]งบประมาณคงเหลือ ม.ค.'!$Z$101</f>
        <v>0</v>
      </c>
      <c r="C18" s="26">
        <f t="shared" si="0"/>
        <v>0</v>
      </c>
      <c r="D18" s="50">
        <v>0</v>
      </c>
      <c r="E18" s="26">
        <f>+'[5]จ่ายจากเงินรายรับ พ.ค.'!$X$110</f>
        <v>0</v>
      </c>
      <c r="F18" s="26">
        <f>+'[5]จ่ายจากเงินรายรับ พ.ค.'!$Y$110</f>
        <v>0</v>
      </c>
      <c r="G18" s="65">
        <v>0</v>
      </c>
      <c r="H18" s="64"/>
    </row>
    <row r="19" spans="1:8" ht="23.25">
      <c r="A19" s="27" t="s">
        <v>126</v>
      </c>
      <c r="B19" s="49">
        <f>+'[4]จ่ายจากเงินรายรับ ม.ค.'!$X$124+'[4]จ่ายจากเงินรายรับ ม.ค.'!$Y$124+'[4]จ่ายจากเงินรายรับ ม.ค.'!$Z$124+'[4]งบประมาณคงเหลือ ม.ค.'!$X$114+'[4]งบประมาณคงเหลือ ม.ค.'!$Y$114+'[4]งบประมาณคงเหลือ ม.ค.'!$Z$114</f>
        <v>0</v>
      </c>
      <c r="C19" s="49">
        <f t="shared" si="0"/>
        <v>0</v>
      </c>
      <c r="D19" s="37">
        <v>0</v>
      </c>
      <c r="E19" s="37">
        <f>+'[5]จ่ายจากเงินรายรับ พ.ค.'!$X$124</f>
        <v>0</v>
      </c>
      <c r="F19" s="37">
        <f>+'[5]จ่ายจากเงินรายรับ พ.ค.'!$Y$124</f>
        <v>0</v>
      </c>
      <c r="G19" s="69">
        <v>0</v>
      </c>
      <c r="H19" s="64"/>
    </row>
    <row r="20" spans="1:8" ht="19.5" customHeight="1">
      <c r="A20" s="28" t="s">
        <v>11</v>
      </c>
      <c r="B20" s="29">
        <f aca="true" t="shared" si="1" ref="B20:G20">SUM(B8:B19)</f>
        <v>939500</v>
      </c>
      <c r="C20" s="42">
        <f t="shared" si="1"/>
        <v>917580</v>
      </c>
      <c r="D20" s="51">
        <f t="shared" si="1"/>
        <v>0</v>
      </c>
      <c r="E20" s="51">
        <f t="shared" si="1"/>
        <v>324895</v>
      </c>
      <c r="F20" s="51">
        <f t="shared" si="1"/>
        <v>592685</v>
      </c>
      <c r="G20" s="68">
        <f t="shared" si="1"/>
        <v>0</v>
      </c>
      <c r="H20" s="64"/>
    </row>
    <row r="21" spans="1:7" ht="19.5" customHeight="1">
      <c r="A21" s="30" t="s">
        <v>39</v>
      </c>
      <c r="B21" s="31"/>
      <c r="C21" s="31"/>
      <c r="D21" s="31"/>
      <c r="E21" s="31"/>
      <c r="F21" s="31"/>
      <c r="G21" s="43"/>
    </row>
    <row r="22" spans="1:7" ht="19.5" customHeight="1">
      <c r="A22" s="32" t="s">
        <v>84</v>
      </c>
      <c r="B22" s="33"/>
      <c r="C22" s="33"/>
      <c r="D22" s="33"/>
      <c r="E22" s="33"/>
      <c r="F22" s="33"/>
      <c r="G22" s="43"/>
    </row>
    <row r="23" spans="1:7" ht="19.5" customHeight="1">
      <c r="A23" s="16" t="s">
        <v>84</v>
      </c>
      <c r="B23" s="34"/>
      <c r="C23" s="34"/>
      <c r="D23" s="34"/>
      <c r="E23" s="34"/>
      <c r="F23" s="34"/>
      <c r="G23" s="43"/>
    </row>
    <row r="24" spans="1:7" ht="19.5" customHeight="1">
      <c r="A24" s="17" t="s">
        <v>11</v>
      </c>
      <c r="B24" s="35"/>
      <c r="C24" s="35"/>
      <c r="D24" s="35"/>
      <c r="E24" s="35"/>
      <c r="F24" s="35"/>
      <c r="G24" s="44"/>
    </row>
    <row r="25" spans="1:6" ht="9.75" customHeight="1">
      <c r="A25" s="32"/>
      <c r="B25" s="16"/>
      <c r="C25" s="16"/>
      <c r="D25" s="16"/>
      <c r="E25" s="16"/>
      <c r="F25" s="16"/>
    </row>
    <row r="26" spans="1:6" ht="9.75" customHeight="1">
      <c r="A26" s="32"/>
      <c r="B26" s="16"/>
      <c r="C26" s="16"/>
      <c r="D26" s="16"/>
      <c r="E26" s="16"/>
      <c r="F26" s="16"/>
    </row>
    <row r="27" spans="1:6" ht="27.75" customHeight="1">
      <c r="A27" s="52" t="s">
        <v>41</v>
      </c>
      <c r="B27" s="53" t="s">
        <v>42</v>
      </c>
      <c r="C27" s="16"/>
      <c r="D27" s="16"/>
      <c r="E27" s="16"/>
      <c r="F27" s="16"/>
    </row>
    <row r="28" spans="1:6" ht="27.75" customHeight="1">
      <c r="A28" s="53"/>
      <c r="B28" s="53" t="s">
        <v>43</v>
      </c>
      <c r="C28" s="16"/>
      <c r="D28" s="16"/>
      <c r="E28" s="16"/>
      <c r="F28" s="16"/>
    </row>
    <row r="29" ht="21.75">
      <c r="A29" s="2"/>
    </row>
    <row r="30" ht="21.75">
      <c r="A30" s="2"/>
    </row>
    <row r="31" ht="21.75">
      <c r="A31" s="2"/>
    </row>
    <row r="32" ht="21.75">
      <c r="A32" s="2"/>
    </row>
    <row r="33" ht="21.75">
      <c r="A33" s="2"/>
    </row>
    <row r="34" ht="21.75">
      <c r="A34" s="2"/>
    </row>
    <row r="35" ht="21.75">
      <c r="A35" s="2"/>
    </row>
    <row r="36" ht="21.75">
      <c r="A36" s="2"/>
    </row>
    <row r="37" ht="21.75">
      <c r="A37" s="2"/>
    </row>
    <row r="38" ht="21.75">
      <c r="A38" s="2"/>
    </row>
    <row r="39" ht="21.75">
      <c r="A39" s="2"/>
    </row>
    <row r="40" ht="21.75">
      <c r="A40" s="2"/>
    </row>
    <row r="41" ht="21.75">
      <c r="A41" s="2"/>
    </row>
    <row r="42" ht="21.75">
      <c r="A42" s="2"/>
    </row>
    <row r="43" spans="1:3" ht="21.75">
      <c r="A43" s="2"/>
      <c r="C43" s="54"/>
    </row>
    <row r="44" ht="21.75">
      <c r="A44" s="2"/>
    </row>
    <row r="45" ht="21.75">
      <c r="A45" s="2"/>
    </row>
    <row r="46" ht="21.75">
      <c r="A46" s="2"/>
    </row>
    <row r="47" ht="21.75">
      <c r="A47" s="2"/>
    </row>
  </sheetData>
  <mergeCells count="4">
    <mergeCell ref="A1:G1"/>
    <mergeCell ref="A2:G2"/>
    <mergeCell ref="A4:F4"/>
    <mergeCell ref="A3:F3"/>
  </mergeCells>
  <printOptions/>
  <pageMargins left="0.70866141732283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15" sqref="C15"/>
    </sheetView>
  </sheetViews>
  <sheetFormatPr defaultColWidth="9.140625" defaultRowHeight="21.75"/>
  <cols>
    <col min="1" max="1" width="35.7109375" style="0" customWidth="1"/>
    <col min="2" max="2" width="25.57421875" style="0" customWidth="1"/>
    <col min="3" max="3" width="30.140625" style="0" customWidth="1"/>
    <col min="4" max="4" width="25.8515625" style="0" customWidth="1"/>
    <col min="5" max="5" width="24.140625" style="0" customWidth="1"/>
  </cols>
  <sheetData>
    <row r="1" spans="1:7" ht="23.25">
      <c r="A1" s="532" t="s">
        <v>153</v>
      </c>
      <c r="B1" s="532"/>
      <c r="C1" s="532"/>
      <c r="D1" s="532"/>
      <c r="E1" s="532"/>
      <c r="F1" s="532"/>
      <c r="G1" s="532"/>
    </row>
    <row r="2" spans="1:7" ht="23.25">
      <c r="A2" s="532" t="s">
        <v>147</v>
      </c>
      <c r="B2" s="532"/>
      <c r="C2" s="532"/>
      <c r="D2" s="532"/>
      <c r="E2" s="532"/>
      <c r="F2" s="532"/>
      <c r="G2" s="532"/>
    </row>
    <row r="3" spans="1:6" s="16" customFormat="1" ht="23.25">
      <c r="A3" s="532" t="s">
        <v>196</v>
      </c>
      <c r="B3" s="532"/>
      <c r="C3" s="532"/>
      <c r="D3" s="532"/>
      <c r="E3" s="532"/>
      <c r="F3" s="532"/>
    </row>
    <row r="4" spans="1:7" ht="9.75" customHeight="1">
      <c r="A4" s="532"/>
      <c r="B4" s="532"/>
      <c r="C4" s="532"/>
      <c r="D4" s="532"/>
      <c r="E4" s="532"/>
      <c r="F4" s="532"/>
      <c r="G4" s="38"/>
    </row>
    <row r="5" spans="1:7" ht="22.5" customHeight="1">
      <c r="A5" s="18" t="s">
        <v>21</v>
      </c>
      <c r="B5" s="19" t="s">
        <v>22</v>
      </c>
      <c r="C5" s="19" t="s">
        <v>11</v>
      </c>
      <c r="D5" s="19" t="s">
        <v>80</v>
      </c>
      <c r="E5" s="19" t="s">
        <v>81</v>
      </c>
      <c r="F5" s="45"/>
      <c r="G5" s="46"/>
    </row>
    <row r="6" spans="1:7" ht="22.5" customHeight="1">
      <c r="A6" s="21"/>
      <c r="B6" s="22"/>
      <c r="C6" s="22"/>
      <c r="D6" s="22"/>
      <c r="E6" s="22" t="s">
        <v>82</v>
      </c>
      <c r="F6" s="45"/>
      <c r="G6" s="46"/>
    </row>
    <row r="7" spans="1:7" ht="19.5" customHeight="1">
      <c r="A7" s="23" t="s">
        <v>27</v>
      </c>
      <c r="B7" s="24">
        <v>0</v>
      </c>
      <c r="C7" s="24">
        <v>0</v>
      </c>
      <c r="D7" s="24">
        <v>0</v>
      </c>
      <c r="E7" s="24">
        <v>0</v>
      </c>
      <c r="F7" s="32"/>
      <c r="G7" s="2"/>
    </row>
    <row r="8" spans="1:7" ht="19.5" customHeight="1">
      <c r="A8" s="25" t="s">
        <v>28</v>
      </c>
      <c r="B8" s="26">
        <v>0</v>
      </c>
      <c r="C8" s="26">
        <v>0</v>
      </c>
      <c r="D8" s="26">
        <v>0</v>
      </c>
      <c r="E8" s="26">
        <v>0</v>
      </c>
      <c r="F8" s="32"/>
      <c r="G8" s="2"/>
    </row>
    <row r="9" spans="1:7" ht="19.5" customHeight="1">
      <c r="A9" s="25" t="s">
        <v>29</v>
      </c>
      <c r="B9" s="26">
        <v>0</v>
      </c>
      <c r="C9" s="26">
        <v>0</v>
      </c>
      <c r="D9" s="26">
        <v>0</v>
      </c>
      <c r="E9" s="26">
        <v>0</v>
      </c>
      <c r="F9" s="32"/>
      <c r="G9" s="2"/>
    </row>
    <row r="10" spans="1:7" ht="23.25">
      <c r="A10" s="25" t="s">
        <v>30</v>
      </c>
      <c r="B10" s="26">
        <v>0</v>
      </c>
      <c r="C10" s="26">
        <v>0</v>
      </c>
      <c r="D10" s="26">
        <v>0</v>
      </c>
      <c r="E10" s="26">
        <v>0</v>
      </c>
      <c r="F10" s="32"/>
      <c r="G10" s="2"/>
    </row>
    <row r="11" spans="1:7" ht="19.5" customHeight="1">
      <c r="A11" s="25" t="s">
        <v>31</v>
      </c>
      <c r="B11" s="26">
        <v>0</v>
      </c>
      <c r="C11" s="26">
        <v>0</v>
      </c>
      <c r="D11" s="26">
        <v>0</v>
      </c>
      <c r="E11" s="26">
        <v>0</v>
      </c>
      <c r="F11" s="32"/>
      <c r="G11" s="2"/>
    </row>
    <row r="12" spans="1:7" ht="19.5" customHeight="1">
      <c r="A12" s="25" t="s">
        <v>32</v>
      </c>
      <c r="B12" s="26">
        <v>0</v>
      </c>
      <c r="C12" s="26">
        <v>0</v>
      </c>
      <c r="D12" s="26">
        <v>0</v>
      </c>
      <c r="E12" s="26">
        <v>0</v>
      </c>
      <c r="F12" s="32"/>
      <c r="G12" s="2"/>
    </row>
    <row r="13" spans="1:7" ht="19.5" customHeight="1">
      <c r="A13" s="25" t="s">
        <v>49</v>
      </c>
      <c r="B13" s="55">
        <v>0</v>
      </c>
      <c r="C13" s="26">
        <v>0</v>
      </c>
      <c r="D13" s="26">
        <v>0</v>
      </c>
      <c r="E13" s="26">
        <v>0</v>
      </c>
      <c r="F13" s="32"/>
      <c r="G13" s="2"/>
    </row>
    <row r="14" spans="1:7" ht="19.5" customHeight="1">
      <c r="A14" s="25" t="s">
        <v>33</v>
      </c>
      <c r="B14" s="26">
        <v>0</v>
      </c>
      <c r="C14" s="26">
        <v>0</v>
      </c>
      <c r="D14" s="26">
        <v>0</v>
      </c>
      <c r="E14" s="26">
        <v>0</v>
      </c>
      <c r="F14" s="32"/>
      <c r="G14" s="2"/>
    </row>
    <row r="15" spans="1:7" ht="19.5" customHeight="1">
      <c r="A15" s="25" t="s">
        <v>34</v>
      </c>
      <c r="B15" s="26">
        <v>0</v>
      </c>
      <c r="C15" s="26">
        <v>0</v>
      </c>
      <c r="D15" s="26">
        <v>0</v>
      </c>
      <c r="E15" s="26">
        <v>0</v>
      </c>
      <c r="F15" s="32"/>
      <c r="G15" s="2"/>
    </row>
    <row r="16" spans="1:7" ht="19.5" customHeight="1">
      <c r="A16" s="25" t="s">
        <v>35</v>
      </c>
      <c r="B16" s="26">
        <v>0</v>
      </c>
      <c r="C16" s="26">
        <v>0</v>
      </c>
      <c r="D16" s="26">
        <v>0</v>
      </c>
      <c r="E16" s="26">
        <v>0</v>
      </c>
      <c r="F16" s="32"/>
      <c r="G16" s="2"/>
    </row>
    <row r="17" spans="1:7" ht="19.5" customHeight="1">
      <c r="A17" s="27" t="s">
        <v>36</v>
      </c>
      <c r="B17" s="26">
        <v>0</v>
      </c>
      <c r="C17" s="26">
        <v>0</v>
      </c>
      <c r="D17" s="26">
        <v>0</v>
      </c>
      <c r="E17" s="26">
        <v>0</v>
      </c>
      <c r="F17" s="32"/>
      <c r="G17" s="2"/>
    </row>
    <row r="18" spans="1:7" ht="19.5" customHeight="1">
      <c r="A18" s="27" t="s">
        <v>37</v>
      </c>
      <c r="B18" s="26">
        <v>0</v>
      </c>
      <c r="C18" s="26">
        <v>0</v>
      </c>
      <c r="D18" s="26">
        <v>0</v>
      </c>
      <c r="E18" s="26">
        <v>0</v>
      </c>
      <c r="F18" s="32"/>
      <c r="G18" s="2"/>
    </row>
    <row r="19" spans="1:7" ht="23.25">
      <c r="A19" s="27" t="s">
        <v>126</v>
      </c>
      <c r="B19" s="55">
        <v>0</v>
      </c>
      <c r="C19" s="55">
        <f>D19+E19</f>
        <v>0</v>
      </c>
      <c r="D19" s="26">
        <v>0</v>
      </c>
      <c r="E19" s="55">
        <v>0</v>
      </c>
      <c r="F19" s="32"/>
      <c r="G19" s="2"/>
    </row>
    <row r="20" spans="1:7" ht="19.5" customHeight="1">
      <c r="A20" s="28" t="s">
        <v>11</v>
      </c>
      <c r="B20" s="56">
        <f>SUM(B8:B19)</f>
        <v>0</v>
      </c>
      <c r="C20" s="56">
        <f>SUM(C8:C19)</f>
        <v>0</v>
      </c>
      <c r="D20" s="29">
        <f>SUM(D8:D19)</f>
        <v>0</v>
      </c>
      <c r="E20" s="56">
        <f>SUM(E8:E19)</f>
        <v>0</v>
      </c>
      <c r="F20" s="32"/>
      <c r="G20" s="2"/>
    </row>
    <row r="21" spans="1:7" ht="19.5" customHeight="1">
      <c r="A21" s="30" t="s">
        <v>39</v>
      </c>
      <c r="B21" s="31"/>
      <c r="C21" s="31"/>
      <c r="D21" s="31"/>
      <c r="E21" s="31"/>
      <c r="F21" s="32"/>
      <c r="G21" s="2"/>
    </row>
    <row r="22" spans="1:7" ht="19.5" customHeight="1">
      <c r="A22" s="32" t="s">
        <v>40</v>
      </c>
      <c r="B22" s="33"/>
      <c r="C22" s="33"/>
      <c r="D22" s="33"/>
      <c r="E22" s="33"/>
      <c r="F22" s="32"/>
      <c r="G22" s="2"/>
    </row>
    <row r="23" spans="1:7" ht="19.5" customHeight="1">
      <c r="A23" s="16" t="s">
        <v>40</v>
      </c>
      <c r="B23" s="34"/>
      <c r="C23" s="34"/>
      <c r="D23" s="34"/>
      <c r="E23" s="34"/>
      <c r="F23" s="32"/>
      <c r="G23" s="2"/>
    </row>
    <row r="24" spans="1:7" ht="19.5" customHeight="1">
      <c r="A24" s="17" t="s">
        <v>11</v>
      </c>
      <c r="B24" s="35"/>
      <c r="C24" s="35"/>
      <c r="D24" s="35"/>
      <c r="E24" s="35"/>
      <c r="F24" s="32"/>
      <c r="G24" s="2"/>
    </row>
    <row r="25" spans="1:6" ht="9.75" customHeight="1">
      <c r="A25" s="16"/>
      <c r="B25" s="16"/>
      <c r="C25" s="16"/>
      <c r="D25" s="16"/>
      <c r="E25" s="16"/>
      <c r="F25" s="16"/>
    </row>
    <row r="26" spans="1:6" ht="9.75" customHeight="1">
      <c r="A26" s="16"/>
      <c r="B26" s="16"/>
      <c r="C26" s="16"/>
      <c r="D26" s="16"/>
      <c r="E26" s="16"/>
      <c r="F26" s="16"/>
    </row>
    <row r="27" spans="1:6" ht="27.75" customHeight="1">
      <c r="A27" s="36" t="s">
        <v>41</v>
      </c>
      <c r="B27" s="20" t="s">
        <v>42</v>
      </c>
      <c r="C27" s="16"/>
      <c r="D27" s="16"/>
      <c r="E27" s="16"/>
      <c r="F27" s="16"/>
    </row>
    <row r="28" spans="1:6" ht="27.75" customHeight="1">
      <c r="A28" s="20"/>
      <c r="B28" s="20" t="s">
        <v>43</v>
      </c>
      <c r="C28" s="16"/>
      <c r="D28" s="16"/>
      <c r="E28" s="16"/>
      <c r="F28" s="16"/>
    </row>
  </sheetData>
  <mergeCells count="4">
    <mergeCell ref="A1:G1"/>
    <mergeCell ref="A2:G2"/>
    <mergeCell ref="A4:F4"/>
    <mergeCell ref="A3:F3"/>
  </mergeCells>
  <printOptions/>
  <pageMargins left="0.7086614173228347" right="0.5511811023622047" top="0.3937007874015748" bottom="0.3937007874015748" header="0.31496062992125984" footer="0.2362204724409449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" sqref="D17"/>
    </sheetView>
  </sheetViews>
  <sheetFormatPr defaultColWidth="9.140625" defaultRowHeight="21.75"/>
  <cols>
    <col min="1" max="1" width="44.7109375" style="0" customWidth="1"/>
    <col min="2" max="2" width="31.00390625" style="0" customWidth="1"/>
    <col min="3" max="3" width="31.28125" style="0" customWidth="1"/>
    <col min="4" max="4" width="36.8515625" style="0" customWidth="1"/>
  </cols>
  <sheetData>
    <row r="1" spans="1:7" ht="23.25">
      <c r="A1" s="532" t="s">
        <v>153</v>
      </c>
      <c r="B1" s="532"/>
      <c r="C1" s="532"/>
      <c r="D1" s="532"/>
      <c r="E1" s="532"/>
      <c r="F1" s="532"/>
      <c r="G1" s="532"/>
    </row>
    <row r="2" spans="1:7" ht="23.25">
      <c r="A2" s="532" t="s">
        <v>83</v>
      </c>
      <c r="B2" s="532"/>
      <c r="C2" s="532"/>
      <c r="D2" s="532"/>
      <c r="E2" s="532"/>
      <c r="F2" s="532"/>
      <c r="G2" s="532"/>
    </row>
    <row r="3" spans="1:6" s="16" customFormat="1" ht="23.25">
      <c r="A3" s="532" t="s">
        <v>196</v>
      </c>
      <c r="B3" s="532"/>
      <c r="C3" s="532"/>
      <c r="D3" s="532"/>
      <c r="E3" s="532"/>
      <c r="F3" s="532"/>
    </row>
    <row r="4" spans="1:7" ht="9.75" customHeight="1">
      <c r="A4" s="532"/>
      <c r="B4" s="532"/>
      <c r="C4" s="532"/>
      <c r="D4" s="532"/>
      <c r="E4" s="532"/>
      <c r="F4" s="532"/>
      <c r="G4" s="38"/>
    </row>
    <row r="5" spans="1:7" ht="23.25">
      <c r="A5" s="18" t="s">
        <v>21</v>
      </c>
      <c r="B5" s="19" t="s">
        <v>22</v>
      </c>
      <c r="C5" s="19" t="s">
        <v>11</v>
      </c>
      <c r="D5" s="19" t="s">
        <v>36</v>
      </c>
      <c r="E5" s="45"/>
      <c r="F5" s="45"/>
      <c r="G5" s="46"/>
    </row>
    <row r="6" spans="1:7" ht="19.5" customHeight="1">
      <c r="A6" s="21"/>
      <c r="B6" s="22"/>
      <c r="C6" s="22"/>
      <c r="D6" s="22"/>
      <c r="E6" s="45"/>
      <c r="F6" s="45"/>
      <c r="G6" s="46"/>
    </row>
    <row r="7" spans="1:7" ht="19.5" customHeight="1">
      <c r="A7" s="23" t="s">
        <v>27</v>
      </c>
      <c r="B7" s="24"/>
      <c r="C7" s="31"/>
      <c r="D7" s="31"/>
      <c r="E7" s="32"/>
      <c r="F7" s="32"/>
      <c r="G7" s="2"/>
    </row>
    <row r="8" spans="1:7" ht="19.5" customHeight="1">
      <c r="A8" s="25" t="s">
        <v>28</v>
      </c>
      <c r="B8" s="26">
        <v>0</v>
      </c>
      <c r="C8" s="33"/>
      <c r="D8" s="33"/>
      <c r="E8" s="32"/>
      <c r="F8" s="32"/>
      <c r="G8" s="2"/>
    </row>
    <row r="9" spans="1:7" ht="19.5" customHeight="1">
      <c r="A9" s="25" t="s">
        <v>29</v>
      </c>
      <c r="B9" s="26">
        <v>0</v>
      </c>
      <c r="C9" s="33"/>
      <c r="D9" s="33"/>
      <c r="E9" s="32"/>
      <c r="F9" s="32"/>
      <c r="G9" s="2"/>
    </row>
    <row r="10" spans="1:7" ht="19.5" customHeight="1">
      <c r="A10" s="25" t="s">
        <v>30</v>
      </c>
      <c r="B10" s="26">
        <v>0</v>
      </c>
      <c r="C10" s="33"/>
      <c r="D10" s="33"/>
      <c r="E10" s="32"/>
      <c r="F10" s="32"/>
      <c r="G10" s="2"/>
    </row>
    <row r="11" spans="1:7" ht="19.5" customHeight="1">
      <c r="A11" s="25" t="s">
        <v>31</v>
      </c>
      <c r="B11" s="26">
        <v>0</v>
      </c>
      <c r="C11" s="33"/>
      <c r="D11" s="33"/>
      <c r="E11" s="32"/>
      <c r="F11" s="32"/>
      <c r="G11" s="2"/>
    </row>
    <row r="12" spans="1:7" ht="19.5" customHeight="1">
      <c r="A12" s="25" t="s">
        <v>32</v>
      </c>
      <c r="B12" s="26">
        <v>0</v>
      </c>
      <c r="C12" s="33"/>
      <c r="D12" s="33"/>
      <c r="E12" s="32"/>
      <c r="F12" s="32"/>
      <c r="G12" s="2"/>
    </row>
    <row r="13" spans="1:7" ht="19.5" customHeight="1">
      <c r="A13" s="25" t="s">
        <v>49</v>
      </c>
      <c r="B13" s="26">
        <v>0</v>
      </c>
      <c r="C13" s="33"/>
      <c r="D13" s="33"/>
      <c r="E13" s="32"/>
      <c r="F13" s="32"/>
      <c r="G13" s="2"/>
    </row>
    <row r="14" spans="1:7" ht="19.5" customHeight="1">
      <c r="A14" s="25" t="s">
        <v>33</v>
      </c>
      <c r="B14" s="26">
        <v>0</v>
      </c>
      <c r="C14" s="33"/>
      <c r="D14" s="33"/>
      <c r="E14" s="32"/>
      <c r="F14" s="32"/>
      <c r="G14" s="2"/>
    </row>
    <row r="15" spans="1:7" ht="19.5" customHeight="1">
      <c r="A15" s="25" t="s">
        <v>34</v>
      </c>
      <c r="B15" s="26">
        <v>0</v>
      </c>
      <c r="C15" s="33"/>
      <c r="D15" s="33"/>
      <c r="E15" s="32"/>
      <c r="F15" s="32"/>
      <c r="G15" s="2"/>
    </row>
    <row r="16" spans="1:7" ht="19.5" customHeight="1">
      <c r="A16" s="27" t="s">
        <v>36</v>
      </c>
      <c r="B16" s="26">
        <f>+'[6]จ่ายจากเงินรายรับ ก.ย.'!$AA$20+'[6]งบประมาณคงเหลือ ก.ย.'!$AA$19</f>
        <v>1342259</v>
      </c>
      <c r="C16" s="26">
        <f>D16</f>
        <v>1011389.95</v>
      </c>
      <c r="D16" s="26">
        <f>+'[6]จ่ายจากเงินรายรับ ก.ย.'!$AB$20</f>
        <v>1011389.95</v>
      </c>
      <c r="E16" s="32"/>
      <c r="F16" s="32"/>
      <c r="G16" s="2"/>
    </row>
    <row r="17" spans="1:7" ht="19.5" customHeight="1">
      <c r="A17" s="27" t="s">
        <v>37</v>
      </c>
      <c r="B17" s="26">
        <v>0</v>
      </c>
      <c r="C17" s="33"/>
      <c r="D17" s="33"/>
      <c r="E17" s="32"/>
      <c r="F17" s="32"/>
      <c r="G17" s="2"/>
    </row>
    <row r="18" spans="1:7" ht="19.5" customHeight="1">
      <c r="A18" s="27" t="s">
        <v>38</v>
      </c>
      <c r="B18" s="26">
        <v>0</v>
      </c>
      <c r="C18" s="33"/>
      <c r="D18" s="33"/>
      <c r="E18" s="32"/>
      <c r="F18" s="32"/>
      <c r="G18" s="2"/>
    </row>
    <row r="19" spans="1:7" ht="19.5" customHeight="1">
      <c r="A19" s="28" t="s">
        <v>11</v>
      </c>
      <c r="B19" s="29">
        <f>SUM(B16:B18)</f>
        <v>1342259</v>
      </c>
      <c r="C19" s="29">
        <f>SUM(C7:C18)</f>
        <v>1011389.95</v>
      </c>
      <c r="D19" s="29">
        <f>SUM(D7:D18)</f>
        <v>1011389.95</v>
      </c>
      <c r="E19" s="32"/>
      <c r="F19" s="32"/>
      <c r="G19" s="2"/>
    </row>
    <row r="20" spans="1:7" ht="19.5" customHeight="1">
      <c r="A20" s="30" t="s">
        <v>39</v>
      </c>
      <c r="B20" s="24"/>
      <c r="C20" s="31"/>
      <c r="D20" s="31"/>
      <c r="E20" s="32"/>
      <c r="F20" s="32"/>
      <c r="G20" s="2"/>
    </row>
    <row r="21" spans="1:7" ht="19.5" customHeight="1">
      <c r="A21" s="32" t="s">
        <v>40</v>
      </c>
      <c r="B21" s="26"/>
      <c r="C21" s="33"/>
      <c r="D21" s="33"/>
      <c r="E21" s="32"/>
      <c r="F21" s="32"/>
      <c r="G21" s="2"/>
    </row>
    <row r="22" spans="1:7" ht="19.5" customHeight="1">
      <c r="A22" s="16" t="s">
        <v>40</v>
      </c>
      <c r="B22" s="37"/>
      <c r="C22" s="34"/>
      <c r="D22" s="34"/>
      <c r="E22" s="32"/>
      <c r="F22" s="32"/>
      <c r="G22" s="2"/>
    </row>
    <row r="23" spans="1:7" ht="19.5" customHeight="1">
      <c r="A23" s="17" t="s">
        <v>11</v>
      </c>
      <c r="B23" s="29"/>
      <c r="C23" s="35"/>
      <c r="D23" s="35"/>
      <c r="E23" s="32"/>
      <c r="F23" s="32"/>
      <c r="G23" s="2"/>
    </row>
    <row r="24" spans="1:6" ht="19.5" customHeight="1">
      <c r="A24" s="16"/>
      <c r="B24" s="16"/>
      <c r="C24" s="16"/>
      <c r="D24" s="16"/>
      <c r="E24" s="16"/>
      <c r="F24" s="16"/>
    </row>
    <row r="25" spans="1:6" ht="19.5" customHeight="1">
      <c r="A25" s="16"/>
      <c r="B25" s="16"/>
      <c r="C25" s="16"/>
      <c r="D25" s="16"/>
      <c r="E25" s="16"/>
      <c r="F25" s="16"/>
    </row>
    <row r="26" spans="1:6" ht="19.5" customHeight="1">
      <c r="A26" s="36" t="s">
        <v>41</v>
      </c>
      <c r="B26" s="20" t="s">
        <v>42</v>
      </c>
      <c r="C26" s="16"/>
      <c r="D26" s="16"/>
      <c r="E26" s="16"/>
      <c r="F26" s="16"/>
    </row>
    <row r="27" spans="1:6" ht="19.5" customHeight="1">
      <c r="A27" s="20"/>
      <c r="B27" s="20" t="s">
        <v>43</v>
      </c>
      <c r="C27" s="16"/>
      <c r="D27" s="16"/>
      <c r="E27" s="16"/>
      <c r="F27" s="16"/>
    </row>
    <row r="28" ht="19.5" customHeight="1"/>
    <row r="29" ht="19.5" customHeight="1"/>
  </sheetData>
  <mergeCells count="4">
    <mergeCell ref="A1:G1"/>
    <mergeCell ref="A2:G2"/>
    <mergeCell ref="A4:F4"/>
    <mergeCell ref="A3:F3"/>
  </mergeCells>
  <printOptions/>
  <pageMargins left="0.7086614173228347" right="0.5511811023622047" top="0.3937007874015748" bottom="0.3937007874015748" header="0.2755905511811024" footer="0.196850393700787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8"/>
  <sheetViews>
    <sheetView zoomScale="120" zoomScaleNormal="120" workbookViewId="0" topLeftCell="A20">
      <selection activeCell="A22" sqref="A22:IV32"/>
    </sheetView>
  </sheetViews>
  <sheetFormatPr defaultColWidth="9.140625" defaultRowHeight="17.25" customHeight="1"/>
  <cols>
    <col min="1" max="1" width="22.00390625" style="64" customWidth="1"/>
    <col min="2" max="2" width="10.57421875" style="64" customWidth="1"/>
    <col min="3" max="3" width="10.7109375" style="140" customWidth="1"/>
    <col min="4" max="4" width="10.57421875" style="139" customWidth="1"/>
    <col min="5" max="5" width="9.7109375" style="139" customWidth="1"/>
    <col min="6" max="8" width="9.7109375" style="64" customWidth="1"/>
    <col min="9" max="9" width="10.28125" style="64" customWidth="1"/>
    <col min="10" max="11" width="9.7109375" style="64" customWidth="1"/>
    <col min="12" max="12" width="7.28125" style="64" customWidth="1"/>
    <col min="13" max="14" width="7.7109375" style="64" customWidth="1"/>
    <col min="15" max="15" width="9.28125" style="64" customWidth="1"/>
    <col min="16" max="18" width="9.140625" style="64" customWidth="1"/>
    <col min="19" max="19" width="21.8515625" style="64" customWidth="1"/>
    <col min="20" max="16384" width="9.140625" style="64" customWidth="1"/>
  </cols>
  <sheetData>
    <row r="1" spans="1:15" ht="17.25" customHeight="1">
      <c r="A1" s="536" t="s">
        <v>159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spans="1:15" ht="17.25" customHeight="1">
      <c r="A2" s="536" t="s">
        <v>85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1:15" ht="17.25" customHeight="1">
      <c r="A3" s="536" t="s">
        <v>196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</row>
    <row r="4" spans="1:15" s="320" customFormat="1" ht="17.25" customHeight="1">
      <c r="A4" s="316"/>
      <c r="B4" s="317"/>
      <c r="C4" s="356" t="s">
        <v>11</v>
      </c>
      <c r="D4" s="317" t="s">
        <v>86</v>
      </c>
      <c r="E4" s="318" t="s">
        <v>127</v>
      </c>
      <c r="F4" s="317"/>
      <c r="G4" s="318"/>
      <c r="H4" s="317" t="s">
        <v>88</v>
      </c>
      <c r="I4" s="317" t="s">
        <v>89</v>
      </c>
      <c r="J4" s="317" t="s">
        <v>90</v>
      </c>
      <c r="K4" s="318" t="s">
        <v>91</v>
      </c>
      <c r="L4" s="317" t="s">
        <v>92</v>
      </c>
      <c r="M4" s="317" t="s">
        <v>170</v>
      </c>
      <c r="N4" s="319" t="s">
        <v>170</v>
      </c>
      <c r="O4" s="319"/>
    </row>
    <row r="5" spans="1:15" s="320" customFormat="1" ht="17.25" customHeight="1">
      <c r="A5" s="321" t="s">
        <v>21</v>
      </c>
      <c r="B5" s="322" t="s">
        <v>22</v>
      </c>
      <c r="C5" s="357"/>
      <c r="D5" s="322" t="s">
        <v>93</v>
      </c>
      <c r="E5" s="323" t="s">
        <v>94</v>
      </c>
      <c r="F5" s="322" t="s">
        <v>87</v>
      </c>
      <c r="G5" s="323" t="s">
        <v>64</v>
      </c>
      <c r="H5" s="322" t="s">
        <v>95</v>
      </c>
      <c r="I5" s="322" t="s">
        <v>96</v>
      </c>
      <c r="J5" s="322" t="s">
        <v>97</v>
      </c>
      <c r="K5" s="323" t="s">
        <v>98</v>
      </c>
      <c r="L5" s="322" t="s">
        <v>99</v>
      </c>
      <c r="M5" s="322" t="s">
        <v>171</v>
      </c>
      <c r="N5" s="324" t="s">
        <v>172</v>
      </c>
      <c r="O5" s="324" t="s">
        <v>36</v>
      </c>
    </row>
    <row r="6" spans="1:15" s="320" customFormat="1" ht="17.25" customHeight="1">
      <c r="A6" s="325"/>
      <c r="B6" s="325"/>
      <c r="C6" s="358"/>
      <c r="D6" s="325"/>
      <c r="E6" s="326" t="s">
        <v>100</v>
      </c>
      <c r="F6" s="325"/>
      <c r="G6" s="326"/>
      <c r="H6" s="325"/>
      <c r="I6" s="325"/>
      <c r="J6" s="325" t="s">
        <v>101</v>
      </c>
      <c r="K6" s="326" t="s">
        <v>77</v>
      </c>
      <c r="L6" s="325"/>
      <c r="M6" s="325"/>
      <c r="N6" s="327"/>
      <c r="O6" s="327"/>
    </row>
    <row r="7" spans="1:15" s="320" customFormat="1" ht="17.25" customHeight="1">
      <c r="A7" s="328" t="s">
        <v>27</v>
      </c>
      <c r="B7" s="329"/>
      <c r="C7" s="332"/>
      <c r="D7" s="330"/>
      <c r="E7" s="331"/>
      <c r="F7" s="331"/>
      <c r="G7" s="331"/>
      <c r="H7" s="332"/>
      <c r="I7" s="331"/>
      <c r="J7" s="332"/>
      <c r="K7" s="331"/>
      <c r="L7" s="332"/>
      <c r="M7" s="331"/>
      <c r="N7" s="332"/>
      <c r="O7" s="331"/>
    </row>
    <row r="8" spans="1:15" s="336" customFormat="1" ht="17.25" customHeight="1">
      <c r="A8" s="333" t="s">
        <v>28</v>
      </c>
      <c r="B8" s="334">
        <f>+รายจ่ายตามงานบริหารทั่วไป!B8+ความสงบภายใน!B9+การศึกษา!B8+สาธารณสุข!B8+สังคมสงเคราะห์!B8+เคหะและชุมชน!B8</f>
        <v>4853920</v>
      </c>
      <c r="C8" s="332">
        <f aca="true" t="shared" si="0" ref="C8:C18">D8+E8+F8+G8+H8+I8+J8+K8+L8+M8+N8+O8</f>
        <v>4218167</v>
      </c>
      <c r="D8" s="332">
        <f>+รายจ่ายตามงานบริหารทั่วไป!C8</f>
        <v>2472624</v>
      </c>
      <c r="E8" s="335">
        <f>+ความสงบภายใน!C9</f>
        <v>148300</v>
      </c>
      <c r="F8" s="332">
        <f>+การศึกษา!C8</f>
        <v>496115</v>
      </c>
      <c r="G8" s="332">
        <f>+สาธารณสุข!C8</f>
        <v>348620</v>
      </c>
      <c r="H8" s="332">
        <f>+สังคมสงเคราะห์!C8</f>
        <v>160600</v>
      </c>
      <c r="I8" s="332">
        <f>+เคหะและชุมชน!C8</f>
        <v>591908</v>
      </c>
      <c r="J8" s="332">
        <f>+สร้างความเข็มแข็งของชุมชน!C8</f>
        <v>0</v>
      </c>
      <c r="K8" s="332">
        <f>+ศาสนา!C8</f>
        <v>0</v>
      </c>
      <c r="L8" s="332">
        <v>0</v>
      </c>
      <c r="M8" s="332">
        <v>0</v>
      </c>
      <c r="N8" s="332">
        <v>0</v>
      </c>
      <c r="O8" s="332">
        <f>+งบกลาง!C8</f>
        <v>0</v>
      </c>
    </row>
    <row r="9" spans="1:15" s="336" customFormat="1" ht="17.25" customHeight="1">
      <c r="A9" s="337" t="s">
        <v>29</v>
      </c>
      <c r="B9" s="334">
        <f>+รายจ่ายตามงานบริหารทั่วไป!B9+ความสงบภายใน!B10+การศึกษา!B9+สาธารณสุข!B9+สังคมสงเคราะห์!B9+เคหะและชุมชน!B9</f>
        <v>820544</v>
      </c>
      <c r="C9" s="332">
        <f t="shared" si="0"/>
        <v>744274</v>
      </c>
      <c r="D9" s="332">
        <f>+รายจ่ายตามงานบริหารทั่วไป!C9</f>
        <v>397264</v>
      </c>
      <c r="E9" s="335">
        <f>+ความสงบภายใน!C10</f>
        <v>236580</v>
      </c>
      <c r="F9" s="332">
        <f>+การศึกษา!C9</f>
        <v>0</v>
      </c>
      <c r="G9" s="332">
        <f>+สาธารณสุข!C9</f>
        <v>0</v>
      </c>
      <c r="H9" s="332">
        <f>+สังคมสงเคราะห์!C9</f>
        <v>0</v>
      </c>
      <c r="I9" s="332">
        <f>+เคหะและชุมชน!C9</f>
        <v>110430</v>
      </c>
      <c r="J9" s="332">
        <f>+สร้างความเข็มแข็งของชุมชน!C9</f>
        <v>0</v>
      </c>
      <c r="K9" s="332">
        <f>+ศาสนา!C9</f>
        <v>0</v>
      </c>
      <c r="L9" s="332">
        <v>0</v>
      </c>
      <c r="M9" s="332">
        <v>0</v>
      </c>
      <c r="N9" s="332">
        <v>0</v>
      </c>
      <c r="O9" s="332">
        <f>+งบกลาง!C9</f>
        <v>0</v>
      </c>
    </row>
    <row r="10" spans="1:15" s="336" customFormat="1" ht="17.25" customHeight="1">
      <c r="A10" s="337" t="s">
        <v>30</v>
      </c>
      <c r="B10" s="334">
        <f>+รายจ่ายตามงานบริหารทั่วไป!B10+ความสงบภายใน!B11+การศึกษา!B10+สาธารณสุข!B10+สังคมสงเคราะห์!B10+เคหะและชุมชน!B10</f>
        <v>3491540</v>
      </c>
      <c r="C10" s="332">
        <f t="shared" si="0"/>
        <v>2798459</v>
      </c>
      <c r="D10" s="332">
        <f>+รายจ่ายตามงานบริหารทั่วไป!C10</f>
        <v>219800</v>
      </c>
      <c r="E10" s="335">
        <f>+ความสงบภายใน!C11</f>
        <v>664085</v>
      </c>
      <c r="F10" s="332">
        <f>+การศึกษา!C10</f>
        <v>436020</v>
      </c>
      <c r="G10" s="332">
        <f>+สาธารณสุข!C10</f>
        <v>857340</v>
      </c>
      <c r="H10" s="332">
        <f>+สังคมสงเคราะห์!C10</f>
        <v>94900</v>
      </c>
      <c r="I10" s="332">
        <f>+เคหะและชุมชน!C10</f>
        <v>526314</v>
      </c>
      <c r="J10" s="332">
        <f>+สร้างความเข็มแข็งของชุมชน!C10</f>
        <v>0</v>
      </c>
      <c r="K10" s="332">
        <f>+ศาสนา!C10</f>
        <v>0</v>
      </c>
      <c r="L10" s="332">
        <v>0</v>
      </c>
      <c r="M10" s="332">
        <v>0</v>
      </c>
      <c r="N10" s="332">
        <v>0</v>
      </c>
      <c r="O10" s="332">
        <f>+งบกลาง!C10</f>
        <v>0</v>
      </c>
    </row>
    <row r="11" spans="1:15" s="336" customFormat="1" ht="17.25" customHeight="1">
      <c r="A11" s="337" t="s">
        <v>31</v>
      </c>
      <c r="B11" s="334">
        <f>+รายจ่ายตามงานบริหารทั่วไป!B11+ความสงบภายใน!B12+การศึกษา!B11+สาธารณสุข!B11+สังคมสงเคราะห์!B11+เคหะและชุมชน!B11+สร้างความเข็มแข็งของชุมชน!B11+ศาสนา!B11+เกษตร!B11+งบกลาง!B11</f>
        <v>2756960</v>
      </c>
      <c r="C11" s="332">
        <f t="shared" si="0"/>
        <v>2531627</v>
      </c>
      <c r="D11" s="332">
        <f>+รายจ่ายตามงานบริหารทั่วไป!C11</f>
        <v>2374628</v>
      </c>
      <c r="E11" s="335">
        <f>+ความสงบภายใน!C12</f>
        <v>82217</v>
      </c>
      <c r="F11" s="332">
        <f>+การศึกษา!C11</f>
        <v>7046</v>
      </c>
      <c r="G11" s="332">
        <f>+สาธารณสุข!C11</f>
        <v>835</v>
      </c>
      <c r="H11" s="332">
        <f>+สังคมสงเคราะห์!C11</f>
        <v>1800</v>
      </c>
      <c r="I11" s="332">
        <f>+เคหะและชุมชน!C11</f>
        <v>65101</v>
      </c>
      <c r="J11" s="332">
        <f>+สร้างความเข็มแข็งของชุมชน!C11</f>
        <v>0</v>
      </c>
      <c r="K11" s="332">
        <f>+ศาสนา!C11</f>
        <v>0</v>
      </c>
      <c r="L11" s="332">
        <v>0</v>
      </c>
      <c r="M11" s="332">
        <v>0</v>
      </c>
      <c r="N11" s="332">
        <v>0</v>
      </c>
      <c r="O11" s="332">
        <f>+งบกลาง!C11</f>
        <v>0</v>
      </c>
    </row>
    <row r="12" spans="1:15" s="340" customFormat="1" ht="17.25" customHeight="1">
      <c r="A12" s="338" t="s">
        <v>32</v>
      </c>
      <c r="B12" s="334">
        <f>+รายจ่ายตามงานบริหารทั่วไป!B12+ความสงบภายใน!B13+การศึกษา!B12+สาธารณสุข!B12+สังคมสงเคราะห์!B12+เคหะและชุมชน!B12+สร้างความเข็มแข็งของชุมชน!B12+ศาสนา!B12+เกษตร!B12+งบกลาง!B12</f>
        <v>9813975</v>
      </c>
      <c r="C12" s="339">
        <f t="shared" si="0"/>
        <v>7353574.51</v>
      </c>
      <c r="D12" s="339">
        <f>+รายจ่ายตามงานบริหารทั่วไป!C12</f>
        <v>1469783.1600000001</v>
      </c>
      <c r="E12" s="339">
        <f>+ความสงบภายใน!C13</f>
        <v>221397</v>
      </c>
      <c r="F12" s="339">
        <f>+การศึกษา!C12</f>
        <v>1077723.05</v>
      </c>
      <c r="G12" s="339">
        <f>+สาธารณสุข!C12</f>
        <v>603897.9</v>
      </c>
      <c r="H12" s="339">
        <f>+สังคมสงเคราะห์!C12</f>
        <v>2103184</v>
      </c>
      <c r="I12" s="339">
        <f>+เคหะและชุมชน!C12</f>
        <v>701208.4</v>
      </c>
      <c r="J12" s="339">
        <f>+สร้างความเข็มแข็งของชุมชน!C12</f>
        <v>483801</v>
      </c>
      <c r="K12" s="339">
        <f>+ศาสนา!C12</f>
        <v>692580</v>
      </c>
      <c r="L12" s="339">
        <v>0</v>
      </c>
      <c r="M12" s="339">
        <v>0</v>
      </c>
      <c r="N12" s="339">
        <v>0</v>
      </c>
      <c r="O12" s="339">
        <v>0</v>
      </c>
    </row>
    <row r="13" spans="1:15" s="336" customFormat="1" ht="17.25" customHeight="1">
      <c r="A13" s="337" t="s">
        <v>102</v>
      </c>
      <c r="B13" s="334">
        <f>+รายจ่ายตามงานบริหารทั่วไป!B13+ความสงบภายใน!B14+การศึกษา!B13+สาธารณสุข!B13+สังคมสงเคราะห์!B13+เคหะและชุมชน!B13+สร้างความเข็มแข็งของชุมชน!B13+ศาสนา!B13+เกษตร!B13+งบกลาง!B13</f>
        <v>5041137</v>
      </c>
      <c r="C13" s="332">
        <f>D13+E13+F13+G13+H13+I13+J13+K13+L13+M13+N13+O13</f>
        <v>3657652.12</v>
      </c>
      <c r="D13" s="339">
        <f>+รายจ่ายตามงานบริหารทั่วไป!C13</f>
        <v>357971.58</v>
      </c>
      <c r="E13" s="339">
        <f>+ความสงบภายใน!C14</f>
        <v>890765.4400000001</v>
      </c>
      <c r="F13" s="339">
        <f>+การศึกษา!C13</f>
        <v>982188</v>
      </c>
      <c r="G13" s="339">
        <f>+สาธารณสุข!C13</f>
        <v>41688</v>
      </c>
      <c r="H13" s="339">
        <f>+สังคมสงเคราะห์!C13</f>
        <v>36532</v>
      </c>
      <c r="I13" s="339">
        <f>+เคหะและชุมชน!C13</f>
        <v>1343023.4</v>
      </c>
      <c r="J13" s="339">
        <f>+สร้างความเข็มแข็งของชุมชน!C13</f>
        <v>5483.7</v>
      </c>
      <c r="K13" s="339">
        <f>+ศาสนา!C13</f>
        <v>0</v>
      </c>
      <c r="L13" s="339">
        <v>0</v>
      </c>
      <c r="M13" s="339">
        <v>0</v>
      </c>
      <c r="N13" s="339">
        <v>0</v>
      </c>
      <c r="O13" s="339">
        <v>0</v>
      </c>
    </row>
    <row r="14" spans="1:15" s="336" customFormat="1" ht="17.25" customHeight="1">
      <c r="A14" s="337" t="s">
        <v>33</v>
      </c>
      <c r="B14" s="334">
        <f>+รายจ่ายตามงานบริหารทั่วไป!B14+ความสงบภายใน!B15+การศึกษา!B14+สาธารณสุข!B14+สังคมสงเคราะห์!B14+เคหะและชุมชน!B14</f>
        <v>695500</v>
      </c>
      <c r="C14" s="332">
        <f t="shared" si="0"/>
        <v>543749.11</v>
      </c>
      <c r="D14" s="339">
        <f>+รายจ่ายตามงานบริหารทั่วไป!C14</f>
        <v>422015.98</v>
      </c>
      <c r="E14" s="339">
        <f>+ความสงบภายใน!C15</f>
        <v>70492.5</v>
      </c>
      <c r="F14" s="339">
        <f>+การศึกษา!C14</f>
        <v>42180.92</v>
      </c>
      <c r="G14" s="339">
        <f>+สาธารณสุข!C14</f>
        <v>0</v>
      </c>
      <c r="H14" s="339">
        <f>+สังคมสงเคราะห์!C14</f>
        <v>0</v>
      </c>
      <c r="I14" s="339">
        <f>+เคหะและชุมชน!C14</f>
        <v>9059.71</v>
      </c>
      <c r="J14" s="339">
        <f>+สร้างความเข็มแข็งของชุมชน!C14</f>
        <v>0</v>
      </c>
      <c r="K14" s="339">
        <f>+ศาสนา!C14</f>
        <v>0</v>
      </c>
      <c r="L14" s="339">
        <v>0</v>
      </c>
      <c r="M14" s="339">
        <v>0</v>
      </c>
      <c r="N14" s="339">
        <v>0</v>
      </c>
      <c r="O14" s="339">
        <v>0</v>
      </c>
    </row>
    <row r="15" spans="1:15" s="336" customFormat="1" ht="17.25" customHeight="1">
      <c r="A15" s="337" t="s">
        <v>34</v>
      </c>
      <c r="B15" s="334">
        <f>+รายจ่ายตามงานบริหารทั่วไป!B15+ความสงบภายใน!B16+การศึกษา!B15+สาธารณสุข!B15+สังคมสงเคราะห์!B15+เคหะและชุมชน!B15+สร้างความเข็มแข็งของชุมชน!B15+ศาสนา!B15+เกษตร!B15+งบกลาง!B15</f>
        <v>1347500</v>
      </c>
      <c r="C15" s="332">
        <f t="shared" si="0"/>
        <v>1315500</v>
      </c>
      <c r="D15" s="339">
        <f>+รายจ่ายตามงานบริหารทั่วไป!C15</f>
        <v>35000</v>
      </c>
      <c r="E15" s="339">
        <f>+ความสงบภายใน!C16</f>
        <v>0</v>
      </c>
      <c r="F15" s="339">
        <f>+การศึกษา!C15</f>
        <v>597500</v>
      </c>
      <c r="G15" s="339">
        <f>+สาธารณสุข!C15</f>
        <v>58000</v>
      </c>
      <c r="H15" s="339">
        <f>+สังคมสงเคราะห์!C15</f>
        <v>0</v>
      </c>
      <c r="I15" s="339">
        <f>+เคหะและชุมชน!C15</f>
        <v>0</v>
      </c>
      <c r="J15" s="339">
        <f>+สร้างความเข็มแข็งของชุมชน!C15</f>
        <v>400000</v>
      </c>
      <c r="K15" s="339">
        <f>+ศาสนา!C15</f>
        <v>225000</v>
      </c>
      <c r="L15" s="339">
        <v>0</v>
      </c>
      <c r="M15" s="339">
        <v>0</v>
      </c>
      <c r="N15" s="339">
        <v>0</v>
      </c>
      <c r="O15" s="339">
        <v>0</v>
      </c>
    </row>
    <row r="16" spans="1:15" s="336" customFormat="1" ht="17.25" customHeight="1">
      <c r="A16" s="337" t="s">
        <v>36</v>
      </c>
      <c r="B16" s="334">
        <f>+งบกลาง!B19</f>
        <v>1342259</v>
      </c>
      <c r="C16" s="332">
        <f t="shared" si="0"/>
        <v>1011389.95</v>
      </c>
      <c r="D16" s="332">
        <f>+รายจ่ายตามงานบริหารทั่วไป!C16</f>
        <v>0</v>
      </c>
      <c r="E16" s="335">
        <f>+ความสงบภายใน!C17</f>
        <v>0</v>
      </c>
      <c r="F16" s="332">
        <f>+การศึกษา!C16</f>
        <v>0</v>
      </c>
      <c r="G16" s="332">
        <f>+สาธารณสุข!C16</f>
        <v>0</v>
      </c>
      <c r="H16" s="332">
        <f>+สังคมสงเคราะห์!C16</f>
        <v>0</v>
      </c>
      <c r="I16" s="332">
        <f>+เคหะและชุมชน!C16</f>
        <v>0</v>
      </c>
      <c r="J16" s="332">
        <f>+สร้างความเข็มแข็งของชุมชน!C16</f>
        <v>0</v>
      </c>
      <c r="K16" s="332">
        <f>+ศาสนา!C16</f>
        <v>0</v>
      </c>
      <c r="L16" s="332">
        <v>0</v>
      </c>
      <c r="M16" s="332">
        <v>0</v>
      </c>
      <c r="N16" s="332">
        <v>0</v>
      </c>
      <c r="O16" s="332">
        <f>+งบกลาง!C16</f>
        <v>1011389.95</v>
      </c>
    </row>
    <row r="17" spans="1:15" s="340" customFormat="1" ht="17.25" customHeight="1">
      <c r="A17" s="338" t="s">
        <v>103</v>
      </c>
      <c r="B17" s="334">
        <f>+รายจ่ายตามงานบริหารทั่วไป!B17+ความสงบภายใน!B18+การศึกษา!B17+สาธารณสุข!B17+สังคมสงเคราะห์!B17+เคหะและชุมชน!B17+สร้างความเข็มแข็งของชุมชน!B17+ศาสนา!B18+งบกลาง!B17</f>
        <v>5483855</v>
      </c>
      <c r="C17" s="332">
        <f t="shared" si="0"/>
        <v>5421286.3</v>
      </c>
      <c r="D17" s="332">
        <f>+รายจ่ายตามงานบริหารทั่วไป!C17</f>
        <v>2533655</v>
      </c>
      <c r="E17" s="335">
        <f>+ความสงบภายใน!C18</f>
        <v>296733.3</v>
      </c>
      <c r="F17" s="332">
        <f>+การศึกษา!C17</f>
        <v>152650</v>
      </c>
      <c r="G17" s="332">
        <f>+สาธารณสุข!C17</f>
        <v>0</v>
      </c>
      <c r="H17" s="332">
        <f>+สังคมสงเคราะห์!C17</f>
        <v>0</v>
      </c>
      <c r="I17" s="332">
        <f>+เคหะและชุมชน!C17</f>
        <v>2438248</v>
      </c>
      <c r="J17" s="332">
        <f>+สร้างความเข็มแข็งของชุมชน!C17</f>
        <v>0</v>
      </c>
      <c r="K17" s="332">
        <f>+ศาสนา!C18</f>
        <v>0</v>
      </c>
      <c r="L17" s="339">
        <v>0</v>
      </c>
      <c r="M17" s="339">
        <v>0</v>
      </c>
      <c r="N17" s="339">
        <v>0</v>
      </c>
      <c r="O17" s="332">
        <f>+งบกลาง!C17</f>
        <v>0</v>
      </c>
    </row>
    <row r="18" spans="1:15" s="336" customFormat="1" ht="17.25" customHeight="1">
      <c r="A18" s="337" t="s">
        <v>160</v>
      </c>
      <c r="B18" s="334">
        <f>+รายจ่ายตามงานบริหารทั่วไป!B18+ความสงบภายใน!B19+การศึกษา!B18+สาธารณสุข!B18+สังคมสงเคราะห์!B18+เคหะและชุมชน!B18+สร้างความเข็มแข็งของชุมชน!B18+ศาสนา!B19+งบกลาง!B18</f>
        <v>1656200</v>
      </c>
      <c r="C18" s="332">
        <f t="shared" si="0"/>
        <v>1655200</v>
      </c>
      <c r="D18" s="332">
        <f>+รายจ่ายตามงานบริหารทั่วไป!C18</f>
        <v>149000</v>
      </c>
      <c r="E18" s="335">
        <f>+ความสงบภายใน!C19</f>
        <v>0</v>
      </c>
      <c r="F18" s="332">
        <f>+การศึกษา!C18</f>
        <v>96200</v>
      </c>
      <c r="G18" s="332">
        <f>+สาธารณสุข!C18</f>
        <v>0</v>
      </c>
      <c r="H18" s="332">
        <f>+สังคมสงเคราะห์!C18</f>
        <v>0</v>
      </c>
      <c r="I18" s="332">
        <f>+เคหะและชุมชน!C18</f>
        <v>1410000</v>
      </c>
      <c r="J18" s="332">
        <f>+สร้างความเข็มแข็งของชุมชน!C18</f>
        <v>0</v>
      </c>
      <c r="K18" s="332">
        <f>+ศาสนา!E19</f>
        <v>0</v>
      </c>
      <c r="L18" s="332">
        <v>0</v>
      </c>
      <c r="M18" s="332">
        <v>0</v>
      </c>
      <c r="N18" s="332">
        <v>0</v>
      </c>
      <c r="O18" s="332">
        <v>0</v>
      </c>
    </row>
    <row r="19" spans="1:15" s="336" customFormat="1" ht="17.25" customHeight="1">
      <c r="A19" s="337"/>
      <c r="B19" s="341"/>
      <c r="C19" s="332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15" s="336" customFormat="1" ht="17.25" customHeight="1">
      <c r="A20" s="337"/>
      <c r="B20" s="342"/>
      <c r="C20" s="332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</row>
    <row r="21" spans="1:15" s="336" customFormat="1" ht="17.25" customHeight="1" thickBot="1">
      <c r="A21" s="353" t="s">
        <v>364</v>
      </c>
      <c r="B21" s="343">
        <f>SUM(B8:B18)</f>
        <v>37303390</v>
      </c>
      <c r="C21" s="343">
        <f>D21+E21+F21+G21+H21+I21+J21+K21+O21</f>
        <v>31250878.989999995</v>
      </c>
      <c r="D21" s="343">
        <f aca="true" t="shared" si="1" ref="D21:O21">SUM(D8:D20)</f>
        <v>10431741.72</v>
      </c>
      <c r="E21" s="343">
        <f t="shared" si="1"/>
        <v>2610570.2399999998</v>
      </c>
      <c r="F21" s="343">
        <f t="shared" si="1"/>
        <v>3887622.9699999997</v>
      </c>
      <c r="G21" s="343">
        <f t="shared" si="1"/>
        <v>1910380.9</v>
      </c>
      <c r="H21" s="343">
        <f t="shared" si="1"/>
        <v>2397016</v>
      </c>
      <c r="I21" s="343">
        <f t="shared" si="1"/>
        <v>7195292.51</v>
      </c>
      <c r="J21" s="343">
        <f t="shared" si="1"/>
        <v>889284.7</v>
      </c>
      <c r="K21" s="343">
        <f t="shared" si="1"/>
        <v>917580</v>
      </c>
      <c r="L21" s="343">
        <f t="shared" si="1"/>
        <v>0</v>
      </c>
      <c r="M21" s="343">
        <f t="shared" si="1"/>
        <v>0</v>
      </c>
      <c r="N21" s="343">
        <f t="shared" si="1"/>
        <v>0</v>
      </c>
      <c r="O21" s="343">
        <f t="shared" si="1"/>
        <v>1011389.95</v>
      </c>
    </row>
    <row r="22" spans="1:15" s="348" customFormat="1" ht="17.25" customHeight="1" thickTop="1">
      <c r="A22" s="344" t="s">
        <v>39</v>
      </c>
      <c r="B22" s="345"/>
      <c r="C22" s="345"/>
      <c r="D22" s="346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</row>
    <row r="23" spans="1:15" s="336" customFormat="1" ht="17.25" customHeight="1">
      <c r="A23" s="337" t="s">
        <v>104</v>
      </c>
      <c r="B23" s="349">
        <f>+'[6]รายงานงบรับ-จ่าย '!$A$9</f>
        <v>588000</v>
      </c>
      <c r="C23" s="345">
        <v>609834.75</v>
      </c>
      <c r="D23" s="350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</row>
    <row r="24" spans="1:15" s="336" customFormat="1" ht="17.25" customHeight="1">
      <c r="A24" s="337" t="s">
        <v>105</v>
      </c>
      <c r="B24" s="334">
        <f>+'[6]รายงานงบรับ-จ่าย '!$A$10</f>
        <v>324900</v>
      </c>
      <c r="C24" s="345">
        <v>307651.6</v>
      </c>
      <c r="D24" s="350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</row>
    <row r="25" spans="1:15" s="336" customFormat="1" ht="17.25" customHeight="1">
      <c r="A25" s="337" t="s">
        <v>106</v>
      </c>
      <c r="B25" s="334">
        <f>+'[6]รายงานงบรับ-จ่าย '!$A$11</f>
        <v>258250</v>
      </c>
      <c r="C25" s="332">
        <f>+'[6]3ช่อง.'!$D$58</f>
        <v>165822.97999999998</v>
      </c>
      <c r="D25" s="350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</row>
    <row r="26" spans="1:15" s="336" customFormat="1" ht="17.25" customHeight="1">
      <c r="A26" s="337" t="s">
        <v>114</v>
      </c>
      <c r="B26" s="334">
        <v>0</v>
      </c>
      <c r="C26" s="332">
        <v>0</v>
      </c>
      <c r="D26" s="350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</row>
    <row r="27" spans="1:15" s="336" customFormat="1" ht="17.25" customHeight="1">
      <c r="A27" s="337" t="s">
        <v>107</v>
      </c>
      <c r="B27" s="334">
        <f>+'[6]รายงานงบรับ-จ่าย '!$A$13</f>
        <v>127500</v>
      </c>
      <c r="C27" s="332">
        <f>+'[6]3ช่อง.'!$D$72</f>
        <v>104828</v>
      </c>
      <c r="D27" s="350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</row>
    <row r="28" spans="1:15" s="336" customFormat="1" ht="17.25" customHeight="1">
      <c r="A28" s="337" t="s">
        <v>108</v>
      </c>
      <c r="B28" s="352">
        <f>+'[6]รายงานงบรับ-จ่าย '!$A$14</f>
        <v>31000</v>
      </c>
      <c r="C28" s="332">
        <f>+'[6]3ช่อง.'!$D$76</f>
        <v>45845</v>
      </c>
      <c r="D28" s="535" t="s">
        <v>533</v>
      </c>
      <c r="E28" s="534"/>
      <c r="F28" s="534"/>
      <c r="G28" s="534"/>
      <c r="H28" s="534" t="s">
        <v>533</v>
      </c>
      <c r="I28" s="534"/>
      <c r="J28" s="534"/>
      <c r="K28" s="359"/>
      <c r="L28" s="534" t="s">
        <v>533</v>
      </c>
      <c r="M28" s="534"/>
      <c r="N28" s="534"/>
      <c r="O28" s="351"/>
    </row>
    <row r="29" spans="1:15" s="336" customFormat="1" ht="17.25" customHeight="1">
      <c r="A29" s="337" t="s">
        <v>109</v>
      </c>
      <c r="B29" s="334">
        <f>+'[6]รายงานงบรับ-จ่าย '!$A$15</f>
        <v>18354758</v>
      </c>
      <c r="C29" s="332">
        <f>+'[6]3ช่อง.'!$D$96</f>
        <v>12150757.280000001</v>
      </c>
      <c r="D29" s="535" t="s">
        <v>534</v>
      </c>
      <c r="E29" s="534"/>
      <c r="F29" s="534"/>
      <c r="G29" s="534"/>
      <c r="H29" s="534" t="s">
        <v>535</v>
      </c>
      <c r="I29" s="534"/>
      <c r="J29" s="534"/>
      <c r="K29" s="359"/>
      <c r="L29" s="534" t="s">
        <v>536</v>
      </c>
      <c r="M29" s="534"/>
      <c r="N29" s="534"/>
      <c r="O29" s="351"/>
    </row>
    <row r="30" spans="1:15" s="336" customFormat="1" ht="17.25" customHeight="1">
      <c r="A30" s="337" t="s">
        <v>110</v>
      </c>
      <c r="B30" s="334">
        <f>+'[6]รายงานงบรับ-จ่าย '!$A$16</f>
        <v>17899454</v>
      </c>
      <c r="C30" s="332">
        <f>+'[6]3ช่อง.'!$D$103</f>
        <v>17899454.48</v>
      </c>
      <c r="D30" s="350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</row>
    <row r="31" spans="1:15" s="336" customFormat="1" ht="17.25" customHeight="1">
      <c r="A31" s="337" t="s">
        <v>186</v>
      </c>
      <c r="B31" s="352">
        <v>0</v>
      </c>
      <c r="C31" s="332">
        <v>0</v>
      </c>
      <c r="D31" s="350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</row>
    <row r="32" spans="1:15" s="336" customFormat="1" ht="17.25" customHeight="1" thickBot="1">
      <c r="A32" s="353" t="s">
        <v>111</v>
      </c>
      <c r="B32" s="343">
        <f>SUM(B23:B31)</f>
        <v>37583862</v>
      </c>
      <c r="C32" s="343">
        <f>SUM(C23:C31)</f>
        <v>31284194.090000004</v>
      </c>
      <c r="D32" s="350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</row>
    <row r="33" spans="1:15" s="336" customFormat="1" ht="17.25" customHeight="1" thickTop="1">
      <c r="A33" s="350" t="s">
        <v>112</v>
      </c>
      <c r="B33" s="354"/>
      <c r="C33" s="355">
        <f>C32-C21</f>
        <v>33315.10000000894</v>
      </c>
      <c r="D33" s="350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</row>
    <row r="34" spans="1:3" s="320" customFormat="1" ht="17.25" customHeight="1">
      <c r="A34" s="360" t="s">
        <v>532</v>
      </c>
      <c r="C34" s="332">
        <v>0</v>
      </c>
    </row>
    <row r="36" spans="1:2" ht="17.25" customHeight="1">
      <c r="A36" s="140"/>
      <c r="B36" s="209"/>
    </row>
    <row r="37" ht="17.25" customHeight="1">
      <c r="A37" s="140"/>
    </row>
    <row r="38" ht="17.25" customHeight="1">
      <c r="A38" s="141"/>
    </row>
  </sheetData>
  <mergeCells count="9">
    <mergeCell ref="L29:N29"/>
    <mergeCell ref="H29:J29"/>
    <mergeCell ref="D29:G29"/>
    <mergeCell ref="A1:O1"/>
    <mergeCell ref="A2:O2"/>
    <mergeCell ref="A3:O3"/>
    <mergeCell ref="D28:G28"/>
    <mergeCell ref="H28:J28"/>
    <mergeCell ref="L28:N28"/>
  </mergeCells>
  <printOptions/>
  <pageMargins left="0.24" right="0.27" top="0.25" bottom="0.1968503937007874" header="0.31496062992125984" footer="0.35433070866141736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8"/>
  <sheetViews>
    <sheetView zoomScale="120" zoomScaleNormal="120" workbookViewId="0" topLeftCell="E10">
      <selection activeCell="H10" sqref="H10"/>
    </sheetView>
  </sheetViews>
  <sheetFormatPr defaultColWidth="9.140625" defaultRowHeight="17.25" customHeight="1"/>
  <cols>
    <col min="1" max="1" width="22.00390625" style="64" customWidth="1"/>
    <col min="2" max="2" width="10.57421875" style="64" customWidth="1"/>
    <col min="3" max="3" width="10.7109375" style="64" customWidth="1"/>
    <col min="4" max="4" width="10.57421875" style="139" customWidth="1"/>
    <col min="5" max="5" width="9.7109375" style="139" customWidth="1"/>
    <col min="6" max="6" width="9.8515625" style="64" customWidth="1"/>
    <col min="7" max="7" width="10.00390625" style="64" customWidth="1"/>
    <col min="8" max="8" width="9.57421875" style="64" customWidth="1"/>
    <col min="9" max="9" width="10.7109375" style="64" customWidth="1"/>
    <col min="10" max="11" width="9.8515625" style="64" customWidth="1"/>
    <col min="12" max="12" width="7.28125" style="64" customWidth="1"/>
    <col min="13" max="14" width="7.7109375" style="64" customWidth="1"/>
    <col min="15" max="15" width="9.421875" style="64" customWidth="1"/>
    <col min="16" max="18" width="9.140625" style="64" customWidth="1"/>
    <col min="19" max="19" width="21.8515625" style="64" customWidth="1"/>
    <col min="20" max="16384" width="9.140625" style="64" customWidth="1"/>
  </cols>
  <sheetData>
    <row r="1" spans="1:15" ht="17.25" customHeight="1">
      <c r="A1" s="537" t="s">
        <v>159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15" ht="17.25" customHeight="1">
      <c r="A2" s="537" t="s">
        <v>113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</row>
    <row r="3" spans="1:15" ht="17.25" customHeight="1">
      <c r="A3" s="536" t="s">
        <v>196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</row>
    <row r="4" spans="1:15" s="320" customFormat="1" ht="17.25" customHeight="1">
      <c r="A4" s="316"/>
      <c r="B4" s="317"/>
      <c r="C4" s="318" t="s">
        <v>11</v>
      </c>
      <c r="D4" s="317" t="s">
        <v>86</v>
      </c>
      <c r="E4" s="318" t="s">
        <v>127</v>
      </c>
      <c r="F4" s="317"/>
      <c r="G4" s="318"/>
      <c r="H4" s="317" t="s">
        <v>88</v>
      </c>
      <c r="I4" s="317" t="s">
        <v>89</v>
      </c>
      <c r="J4" s="317" t="s">
        <v>90</v>
      </c>
      <c r="K4" s="318" t="s">
        <v>91</v>
      </c>
      <c r="L4" s="317" t="s">
        <v>92</v>
      </c>
      <c r="M4" s="317" t="s">
        <v>170</v>
      </c>
      <c r="N4" s="319" t="s">
        <v>170</v>
      </c>
      <c r="O4" s="319"/>
    </row>
    <row r="5" spans="1:15" s="320" customFormat="1" ht="17.25" customHeight="1">
      <c r="A5" s="321" t="s">
        <v>21</v>
      </c>
      <c r="B5" s="322" t="s">
        <v>22</v>
      </c>
      <c r="C5" s="323"/>
      <c r="D5" s="322" t="s">
        <v>93</v>
      </c>
      <c r="E5" s="323" t="s">
        <v>94</v>
      </c>
      <c r="F5" s="322" t="s">
        <v>87</v>
      </c>
      <c r="G5" s="323" t="s">
        <v>64</v>
      </c>
      <c r="H5" s="322" t="s">
        <v>95</v>
      </c>
      <c r="I5" s="322" t="s">
        <v>96</v>
      </c>
      <c r="J5" s="322" t="s">
        <v>97</v>
      </c>
      <c r="K5" s="323" t="s">
        <v>98</v>
      </c>
      <c r="L5" s="322" t="s">
        <v>99</v>
      </c>
      <c r="M5" s="322" t="s">
        <v>171</v>
      </c>
      <c r="N5" s="324" t="s">
        <v>172</v>
      </c>
      <c r="O5" s="324" t="s">
        <v>36</v>
      </c>
    </row>
    <row r="6" spans="1:15" s="320" customFormat="1" ht="17.25" customHeight="1">
      <c r="A6" s="325"/>
      <c r="B6" s="325"/>
      <c r="C6" s="326"/>
      <c r="D6" s="325"/>
      <c r="E6" s="326" t="s">
        <v>100</v>
      </c>
      <c r="F6" s="325"/>
      <c r="G6" s="326"/>
      <c r="H6" s="325"/>
      <c r="I6" s="325"/>
      <c r="J6" s="325" t="s">
        <v>101</v>
      </c>
      <c r="K6" s="326" t="s">
        <v>77</v>
      </c>
      <c r="L6" s="325"/>
      <c r="M6" s="325"/>
      <c r="N6" s="327"/>
      <c r="O6" s="327"/>
    </row>
    <row r="7" spans="1:15" s="320" customFormat="1" ht="17.25" customHeight="1">
      <c r="A7" s="328" t="s">
        <v>27</v>
      </c>
      <c r="B7" s="329"/>
      <c r="C7" s="330"/>
      <c r="D7" s="330"/>
      <c r="E7" s="331"/>
      <c r="F7" s="331"/>
      <c r="G7" s="331"/>
      <c r="H7" s="332"/>
      <c r="I7" s="331"/>
      <c r="J7" s="332"/>
      <c r="K7" s="331"/>
      <c r="L7" s="332"/>
      <c r="M7" s="331"/>
      <c r="N7" s="332"/>
      <c r="O7" s="331"/>
    </row>
    <row r="8" spans="1:15" s="336" customFormat="1" ht="17.25" customHeight="1">
      <c r="A8" s="333" t="s">
        <v>28</v>
      </c>
      <c r="B8" s="334">
        <f>+รายจ่ายตามงานบริหารทั่วไป!B8+ความสงบภายใน!B9+การศึกษา!B8+สาธารณสุข!B8+สังคมสงเคราะห์!B8+เคหะและชุมชน!B8</f>
        <v>4853920</v>
      </c>
      <c r="C8" s="332">
        <f aca="true" t="shared" si="0" ref="C8:C18">D8+E8+F8+G8+H8+I8+J8+K8+L8+M8+N8+O8</f>
        <v>4802609</v>
      </c>
      <c r="D8" s="361">
        <f>+รายจ่ายตามงานบริหารทั่วไป!C8+232280</f>
        <v>2704904</v>
      </c>
      <c r="E8" s="362">
        <f>+ความสงบภายใน!C9+30080</f>
        <v>178380</v>
      </c>
      <c r="F8" s="361">
        <f>+การศึกษา!C8+104920</f>
        <v>601035</v>
      </c>
      <c r="G8" s="361">
        <f>+สาธารณสุข!C8+73040</f>
        <v>421660</v>
      </c>
      <c r="H8" s="361">
        <f>+สังคมสงเคราะห์!C8+14292</f>
        <v>174892</v>
      </c>
      <c r="I8" s="361">
        <f>+เคหะและชุมชน!C8+129830</f>
        <v>721738</v>
      </c>
      <c r="J8" s="332">
        <f>+สร้างความเข็มแข็งของชุมชน!C8</f>
        <v>0</v>
      </c>
      <c r="K8" s="332">
        <f>+ศาสนา!C8</f>
        <v>0</v>
      </c>
      <c r="L8" s="332">
        <v>0</v>
      </c>
      <c r="M8" s="332">
        <v>0</v>
      </c>
      <c r="N8" s="332">
        <v>0</v>
      </c>
      <c r="O8" s="332">
        <f>+งบกลาง!C8</f>
        <v>0</v>
      </c>
    </row>
    <row r="9" spans="1:15" s="336" customFormat="1" ht="17.25" customHeight="1">
      <c r="A9" s="337" t="s">
        <v>29</v>
      </c>
      <c r="B9" s="334">
        <f>+รายจ่ายตามงานบริหารทั่วไป!B9+ความสงบภายใน!B10+การศึกษา!B9+สาธารณสุข!B9+สังคมสงเคราะห์!B9+เคหะและชุมชน!B9</f>
        <v>820544</v>
      </c>
      <c r="C9" s="332">
        <f t="shared" si="0"/>
        <v>818310</v>
      </c>
      <c r="D9" s="361">
        <f>+รายจ่ายตามงานบริหารทั่วไป!C9+610+256</f>
        <v>398130</v>
      </c>
      <c r="E9" s="362">
        <f>+ความสงบภายใน!C10+47880</f>
        <v>284460</v>
      </c>
      <c r="F9" s="332">
        <f>+การศึกษา!C9</f>
        <v>0</v>
      </c>
      <c r="G9" s="332">
        <f>+สาธารณสุข!C9</f>
        <v>0</v>
      </c>
      <c r="H9" s="332">
        <f>+สังคมสงเคราะห์!C9</f>
        <v>0</v>
      </c>
      <c r="I9" s="361">
        <f>+เคหะและชุมชน!C9+25290</f>
        <v>135720</v>
      </c>
      <c r="J9" s="332">
        <f>+สร้างความเข็มแข็งของชุมชน!C9</f>
        <v>0</v>
      </c>
      <c r="K9" s="332">
        <f>+ศาสนา!C9</f>
        <v>0</v>
      </c>
      <c r="L9" s="332">
        <v>0</v>
      </c>
      <c r="M9" s="332">
        <v>0</v>
      </c>
      <c r="N9" s="332">
        <v>0</v>
      </c>
      <c r="O9" s="332">
        <f>+งบกลาง!C9</f>
        <v>0</v>
      </c>
    </row>
    <row r="10" spans="1:15" s="336" customFormat="1" ht="17.25" customHeight="1">
      <c r="A10" s="337" t="s">
        <v>30</v>
      </c>
      <c r="B10" s="334">
        <f>+รายจ่ายตามงานบริหารทั่วไป!B10+ความสงบภายใน!B11+การศึกษา!B10+สาธารณสุข!B10+สังคมสงเคราะห์!B10+เคหะและชุมชน!B10</f>
        <v>3491540</v>
      </c>
      <c r="C10" s="332">
        <f t="shared" si="0"/>
        <v>3312119</v>
      </c>
      <c r="D10" s="332">
        <f>+รายจ่ายตามงานบริหารทั่วไป!C10</f>
        <v>219800</v>
      </c>
      <c r="E10" s="362">
        <f>+ความสงบภายใน!C11+161260</f>
        <v>825345</v>
      </c>
      <c r="F10" s="361">
        <f>+การศึกษา!C10+49220+13400</f>
        <v>498640</v>
      </c>
      <c r="G10" s="361">
        <f>+สาธารณสุข!C10+200320</f>
        <v>1057660</v>
      </c>
      <c r="H10" s="332">
        <f>+สังคมสงเคราะห์!C10</f>
        <v>94900</v>
      </c>
      <c r="I10" s="361">
        <f>+เคหะและชุมชน!C10+89460</f>
        <v>615774</v>
      </c>
      <c r="J10" s="332">
        <f>+สร้างความเข็มแข็งของชุมชน!C10</f>
        <v>0</v>
      </c>
      <c r="K10" s="332">
        <f>+ศาสนา!C10</f>
        <v>0</v>
      </c>
      <c r="L10" s="332">
        <v>0</v>
      </c>
      <c r="M10" s="332">
        <v>0</v>
      </c>
      <c r="N10" s="332">
        <v>0</v>
      </c>
      <c r="O10" s="332">
        <f>+งบกลาง!C10</f>
        <v>0</v>
      </c>
    </row>
    <row r="11" spans="1:15" s="336" customFormat="1" ht="17.25" customHeight="1">
      <c r="A11" s="337" t="s">
        <v>31</v>
      </c>
      <c r="B11" s="334">
        <f>+รายจ่ายตามงานบริหารทั่วไป!B11+ความสงบภายใน!B12+การศึกษา!B11+สาธารณสุข!B11+สังคมสงเคราะห์!B11+เคหะและชุมชน!B11+สร้างความเข็มแข็งของชุมชน!B11+ศาสนา!B11+เกษตร!B11+งบกลาง!B11</f>
        <v>2756960</v>
      </c>
      <c r="C11" s="332">
        <f t="shared" si="0"/>
        <v>2787092</v>
      </c>
      <c r="D11" s="361">
        <f>+รายจ่ายตามงานบริหารทั่วไป!C11+175778+75311+4376</f>
        <v>2630093</v>
      </c>
      <c r="E11" s="335">
        <f>+ความสงบภายใน!C12</f>
        <v>82217</v>
      </c>
      <c r="F11" s="332">
        <f>+การศึกษา!C11</f>
        <v>7046</v>
      </c>
      <c r="G11" s="332">
        <f>+สาธารณสุข!C11</f>
        <v>835</v>
      </c>
      <c r="H11" s="332">
        <f>+สังคมสงเคราะห์!C11</f>
        <v>1800</v>
      </c>
      <c r="I11" s="332">
        <f>+เคหะและชุมชน!C11</f>
        <v>65101</v>
      </c>
      <c r="J11" s="332">
        <f>+สร้างความเข็มแข็งของชุมชน!C11</f>
        <v>0</v>
      </c>
      <c r="K11" s="332">
        <f>+ศาสนา!C11</f>
        <v>0</v>
      </c>
      <c r="L11" s="332">
        <v>0</v>
      </c>
      <c r="M11" s="332">
        <v>0</v>
      </c>
      <c r="N11" s="332">
        <v>0</v>
      </c>
      <c r="O11" s="332">
        <f>+งบกลาง!C11</f>
        <v>0</v>
      </c>
    </row>
    <row r="12" spans="1:15" s="340" customFormat="1" ht="17.25" customHeight="1">
      <c r="A12" s="338" t="s">
        <v>32</v>
      </c>
      <c r="B12" s="334">
        <f>+รายจ่ายตามงานบริหารทั่วไป!B12+ความสงบภายใน!B13+การศึกษา!B12+สาธารณสุข!B12+สังคมสงเคราะห์!B12+เคหะและชุมชน!B12+สร้างความเข็มแข็งของชุมชน!B12+ศาสนา!B12+เกษตร!B12+งบกลาง!B12</f>
        <v>9813975</v>
      </c>
      <c r="C12" s="339">
        <f t="shared" si="0"/>
        <v>7529197.51</v>
      </c>
      <c r="D12" s="363">
        <f>+รายจ่ายตามงานบริหารทั่วไป!C12+75623</f>
        <v>1545406.1600000001</v>
      </c>
      <c r="E12" s="339">
        <f>+ความสงบภายใน!C13</f>
        <v>221397</v>
      </c>
      <c r="F12" s="339">
        <f>+การศึกษา!C12</f>
        <v>1077723.05</v>
      </c>
      <c r="G12" s="339">
        <f>+สาธารณสุข!C12</f>
        <v>603897.9</v>
      </c>
      <c r="H12" s="339">
        <f>+สังคมสงเคราะห์!C12</f>
        <v>2103184</v>
      </c>
      <c r="I12" s="365">
        <f>+เคหะและชุมชน!C12+100000</f>
        <v>801208.4</v>
      </c>
      <c r="J12" s="339">
        <f>+สร้างความเข็มแข็งของชุมชน!C12</f>
        <v>483801</v>
      </c>
      <c r="K12" s="339">
        <f>+ศาสนา!C12</f>
        <v>692580</v>
      </c>
      <c r="L12" s="339">
        <v>0</v>
      </c>
      <c r="M12" s="339">
        <v>0</v>
      </c>
      <c r="N12" s="339">
        <v>0</v>
      </c>
      <c r="O12" s="339">
        <v>0</v>
      </c>
    </row>
    <row r="13" spans="1:15" s="336" customFormat="1" ht="17.25" customHeight="1">
      <c r="A13" s="337" t="s">
        <v>102</v>
      </c>
      <c r="B13" s="334">
        <f>+รายจ่ายตามงานบริหารทั่วไป!B13+ความสงบภายใน!B14+การศึกษา!B13+สาธารณสุข!B13+สังคมสงเคราะห์!B13+เคหะและชุมชน!B13+สร้างความเข็มแข็งของชุมชน!B13+ศาสนา!B13+เกษตร!B13+งบกลาง!B13</f>
        <v>5041137</v>
      </c>
      <c r="C13" s="332">
        <f>D13+E13+F13+G13+H13+I13+J13+K13+L13+M13+N13+O13</f>
        <v>3657652.12</v>
      </c>
      <c r="D13" s="339">
        <f>+รายจ่ายตามงานบริหารทั่วไป!C13</f>
        <v>357971.58</v>
      </c>
      <c r="E13" s="339">
        <f>+ความสงบภายใน!C14</f>
        <v>890765.4400000001</v>
      </c>
      <c r="F13" s="339">
        <f>+การศึกษา!C13</f>
        <v>982188</v>
      </c>
      <c r="G13" s="339">
        <f>+สาธารณสุข!C13</f>
        <v>41688</v>
      </c>
      <c r="H13" s="339">
        <f>+สังคมสงเคราะห์!C13</f>
        <v>36532</v>
      </c>
      <c r="I13" s="339">
        <f>+เคหะและชุมชน!C13</f>
        <v>1343023.4</v>
      </c>
      <c r="J13" s="339">
        <f>+สร้างความเข็มแข็งของชุมชน!C13</f>
        <v>5483.7</v>
      </c>
      <c r="K13" s="339">
        <f>+ศาสนา!C13</f>
        <v>0</v>
      </c>
      <c r="L13" s="339">
        <v>0</v>
      </c>
      <c r="M13" s="339">
        <v>0</v>
      </c>
      <c r="N13" s="339">
        <v>0</v>
      </c>
      <c r="O13" s="339">
        <v>0</v>
      </c>
    </row>
    <row r="14" spans="1:15" s="336" customFormat="1" ht="17.25" customHeight="1">
      <c r="A14" s="337" t="s">
        <v>33</v>
      </c>
      <c r="B14" s="334">
        <f>+รายจ่ายตามงานบริหารทั่วไป!B14+ความสงบภายใน!B15+การศึกษา!B14+สาธารณสุข!B14+สังคมสงเคราะห์!B14+เคหะและชุมชน!B14</f>
        <v>695500</v>
      </c>
      <c r="C14" s="332">
        <f t="shared" si="0"/>
        <v>543749.11</v>
      </c>
      <c r="D14" s="339">
        <f>+รายจ่ายตามงานบริหารทั่วไป!C14</f>
        <v>422015.98</v>
      </c>
      <c r="E14" s="339">
        <f>+ความสงบภายใน!C15</f>
        <v>70492.5</v>
      </c>
      <c r="F14" s="339">
        <f>+การศึกษา!C14</f>
        <v>42180.92</v>
      </c>
      <c r="G14" s="339">
        <f>+สาธารณสุข!C14</f>
        <v>0</v>
      </c>
      <c r="H14" s="339">
        <f>+สังคมสงเคราะห์!C14</f>
        <v>0</v>
      </c>
      <c r="I14" s="339">
        <f>+เคหะและชุมชน!C14</f>
        <v>9059.71</v>
      </c>
      <c r="J14" s="339">
        <f>+สร้างความเข็มแข็งของชุมชน!C14</f>
        <v>0</v>
      </c>
      <c r="K14" s="339">
        <f>+ศาสนา!C14</f>
        <v>0</v>
      </c>
      <c r="L14" s="339">
        <v>0</v>
      </c>
      <c r="M14" s="339">
        <v>0</v>
      </c>
      <c r="N14" s="339">
        <v>0</v>
      </c>
      <c r="O14" s="339">
        <v>0</v>
      </c>
    </row>
    <row r="15" spans="1:15" s="336" customFormat="1" ht="17.25" customHeight="1">
      <c r="A15" s="337" t="s">
        <v>34</v>
      </c>
      <c r="B15" s="334">
        <f>+รายจ่ายตามงานบริหารทั่วไป!B15+ความสงบภายใน!B16+การศึกษา!B15+สาธารณสุข!B15+สังคมสงเคราะห์!B15+เคหะและชุมชน!B15+สร้างความเข็มแข็งของชุมชน!B15+ศาสนา!B15+เกษตร!B15+งบกลาง!B15</f>
        <v>1347500</v>
      </c>
      <c r="C15" s="332">
        <f t="shared" si="0"/>
        <v>1315500</v>
      </c>
      <c r="D15" s="339">
        <f>+รายจ่ายตามงานบริหารทั่วไป!C15</f>
        <v>35000</v>
      </c>
      <c r="E15" s="339">
        <f>+ความสงบภายใน!C16</f>
        <v>0</v>
      </c>
      <c r="F15" s="339">
        <f>+การศึกษา!C15</f>
        <v>597500</v>
      </c>
      <c r="G15" s="339">
        <f>+สาธารณสุข!C15</f>
        <v>58000</v>
      </c>
      <c r="H15" s="339">
        <f>+สังคมสงเคราะห์!C15</f>
        <v>0</v>
      </c>
      <c r="I15" s="339">
        <f>+เคหะและชุมชน!C15</f>
        <v>0</v>
      </c>
      <c r="J15" s="339">
        <f>+สร้างความเข็มแข็งของชุมชน!C15</f>
        <v>400000</v>
      </c>
      <c r="K15" s="339">
        <f>+ศาสนา!C15</f>
        <v>225000</v>
      </c>
      <c r="L15" s="339">
        <v>0</v>
      </c>
      <c r="M15" s="339">
        <v>0</v>
      </c>
      <c r="N15" s="339">
        <v>0</v>
      </c>
      <c r="O15" s="339">
        <v>0</v>
      </c>
    </row>
    <row r="16" spans="1:15" s="336" customFormat="1" ht="17.25" customHeight="1">
      <c r="A16" s="337" t="s">
        <v>36</v>
      </c>
      <c r="B16" s="334">
        <f>+งบกลาง!B19</f>
        <v>1342259</v>
      </c>
      <c r="C16" s="332">
        <f t="shared" si="0"/>
        <v>1011389.95</v>
      </c>
      <c r="D16" s="332">
        <f>+รายจ่ายตามงานบริหารทั่วไป!C16</f>
        <v>0</v>
      </c>
      <c r="E16" s="335">
        <f>+ความสงบภายใน!C17</f>
        <v>0</v>
      </c>
      <c r="F16" s="332">
        <f>+การศึกษา!C16</f>
        <v>0</v>
      </c>
      <c r="G16" s="332">
        <f>+สาธารณสุข!C16</f>
        <v>0</v>
      </c>
      <c r="H16" s="332">
        <f>+สังคมสงเคราะห์!C16</f>
        <v>0</v>
      </c>
      <c r="I16" s="332">
        <f>+เคหะและชุมชน!C16</f>
        <v>0</v>
      </c>
      <c r="J16" s="332">
        <f>+สร้างความเข็มแข็งของชุมชน!C16</f>
        <v>0</v>
      </c>
      <c r="K16" s="332">
        <f>+ศาสนา!C16</f>
        <v>0</v>
      </c>
      <c r="L16" s="332">
        <v>0</v>
      </c>
      <c r="M16" s="332">
        <v>0</v>
      </c>
      <c r="N16" s="332">
        <v>0</v>
      </c>
      <c r="O16" s="332">
        <f>+งบกลาง!C16</f>
        <v>1011389.95</v>
      </c>
    </row>
    <row r="17" spans="1:15" s="340" customFormat="1" ht="17.25" customHeight="1">
      <c r="A17" s="338" t="s">
        <v>103</v>
      </c>
      <c r="B17" s="334">
        <f>+รายจ่ายตามงานบริหารทั่วไป!B17+ความสงบภายใน!B18+การศึกษา!B17+สาธารณสุข!B17+สังคมสงเคราะห์!B17+เคหะและชุมชน!B17+สร้างความเข็มแข็งของชุมชน!B17+ศาสนา!B18+งบกลาง!B17</f>
        <v>5483855</v>
      </c>
      <c r="C17" s="332">
        <f t="shared" si="0"/>
        <v>5421286.3</v>
      </c>
      <c r="D17" s="332">
        <f>+รายจ่ายตามงานบริหารทั่วไป!C17</f>
        <v>2533655</v>
      </c>
      <c r="E17" s="335">
        <f>+ความสงบภายใน!C18</f>
        <v>296733.3</v>
      </c>
      <c r="F17" s="332">
        <f>+การศึกษา!C17</f>
        <v>152650</v>
      </c>
      <c r="G17" s="332">
        <f>+สาธารณสุข!C17</f>
        <v>0</v>
      </c>
      <c r="H17" s="332">
        <f>+สังคมสงเคราะห์!C17</f>
        <v>0</v>
      </c>
      <c r="I17" s="332">
        <f>+เคหะและชุมชน!C17</f>
        <v>2438248</v>
      </c>
      <c r="J17" s="332">
        <f>+สร้างความเข็มแข็งของชุมชน!C17</f>
        <v>0</v>
      </c>
      <c r="K17" s="332">
        <f>+ศาสนา!C18</f>
        <v>0</v>
      </c>
      <c r="L17" s="339">
        <v>0</v>
      </c>
      <c r="M17" s="339">
        <v>0</v>
      </c>
      <c r="N17" s="339">
        <v>0</v>
      </c>
      <c r="O17" s="332">
        <f>+งบกลาง!C17</f>
        <v>0</v>
      </c>
    </row>
    <row r="18" spans="1:15" s="336" customFormat="1" ht="17.25" customHeight="1">
      <c r="A18" s="337" t="s">
        <v>160</v>
      </c>
      <c r="B18" s="334">
        <f>+รายจ่ายตามงานบริหารทั่วไป!B18+ความสงบภายใน!B19+การศึกษา!B18+สาธารณสุข!B18+สังคมสงเคราะห์!B18+เคหะและชุมชน!B18+สร้างความเข็มแข็งของชุมชน!B18+ศาสนา!B19+งบกลาง!B18</f>
        <v>1656200</v>
      </c>
      <c r="C18" s="332">
        <f t="shared" si="0"/>
        <v>4001085</v>
      </c>
      <c r="D18" s="364">
        <f>+รายจ่ายตามงานบริหารทั่วไป!C18+87885</f>
        <v>236885</v>
      </c>
      <c r="E18" s="335">
        <f>+ความสงบภายใน!C19</f>
        <v>0</v>
      </c>
      <c r="F18" s="332">
        <f>+การศึกษา!C18</f>
        <v>96200</v>
      </c>
      <c r="G18" s="332">
        <f>+สาธารณสุข!C18</f>
        <v>0</v>
      </c>
      <c r="H18" s="332">
        <f>+สังคมสงเคราะห์!C18</f>
        <v>0</v>
      </c>
      <c r="I18" s="364">
        <f>งบแสดงผลการดำเนินงานรวม!I18+700000+760000+191000+222000+236000+149000</f>
        <v>3668000</v>
      </c>
      <c r="J18" s="332">
        <f>+สร้างความเข็มแข็งของชุมชน!C18</f>
        <v>0</v>
      </c>
      <c r="K18" s="332">
        <f>+ศาสนา!E19</f>
        <v>0</v>
      </c>
      <c r="L18" s="332">
        <v>0</v>
      </c>
      <c r="M18" s="332">
        <v>0</v>
      </c>
      <c r="N18" s="332">
        <v>0</v>
      </c>
      <c r="O18" s="332">
        <v>0</v>
      </c>
    </row>
    <row r="19" spans="1:15" s="336" customFormat="1" ht="17.25" customHeight="1">
      <c r="A19" s="337"/>
      <c r="B19" s="341"/>
      <c r="C19" s="332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15" s="336" customFormat="1" ht="17.25" customHeight="1">
      <c r="A20" s="337"/>
      <c r="B20" s="342"/>
      <c r="C20" s="332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</row>
    <row r="21" spans="1:15" s="336" customFormat="1" ht="17.25" customHeight="1" thickBot="1">
      <c r="A21" s="353" t="s">
        <v>364</v>
      </c>
      <c r="B21" s="343">
        <f>SUM(B8:B18)</f>
        <v>37303390</v>
      </c>
      <c r="C21" s="343">
        <f>D21+E21+F21+G21+H21+I21+J21+K21+O21</f>
        <v>35199989.989999995</v>
      </c>
      <c r="D21" s="343">
        <f aca="true" t="shared" si="1" ref="D21:O21">SUM(D8:D20)</f>
        <v>11083860.72</v>
      </c>
      <c r="E21" s="343">
        <f t="shared" si="1"/>
        <v>2849790.2399999998</v>
      </c>
      <c r="F21" s="343">
        <f t="shared" si="1"/>
        <v>4055162.9699999997</v>
      </c>
      <c r="G21" s="343">
        <f t="shared" si="1"/>
        <v>2183740.9</v>
      </c>
      <c r="H21" s="343">
        <f t="shared" si="1"/>
        <v>2411308</v>
      </c>
      <c r="I21" s="343">
        <f t="shared" si="1"/>
        <v>9797872.51</v>
      </c>
      <c r="J21" s="343">
        <f t="shared" si="1"/>
        <v>889284.7</v>
      </c>
      <c r="K21" s="343">
        <f t="shared" si="1"/>
        <v>917580</v>
      </c>
      <c r="L21" s="343">
        <f t="shared" si="1"/>
        <v>0</v>
      </c>
      <c r="M21" s="343">
        <f t="shared" si="1"/>
        <v>0</v>
      </c>
      <c r="N21" s="343">
        <f t="shared" si="1"/>
        <v>0</v>
      </c>
      <c r="O21" s="343">
        <f t="shared" si="1"/>
        <v>1011389.95</v>
      </c>
    </row>
    <row r="22" spans="1:15" s="348" customFormat="1" ht="17.25" customHeight="1" thickTop="1">
      <c r="A22" s="344" t="s">
        <v>39</v>
      </c>
      <c r="B22" s="345"/>
      <c r="C22" s="345"/>
      <c r="D22" s="346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</row>
    <row r="23" spans="1:15" s="336" customFormat="1" ht="17.25" customHeight="1">
      <c r="A23" s="337" t="s">
        <v>104</v>
      </c>
      <c r="B23" s="349">
        <f>+'[6]รายงานงบรับ-จ่าย '!$A$9</f>
        <v>588000</v>
      </c>
      <c r="C23" s="345">
        <v>609834.75</v>
      </c>
      <c r="D23" s="350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</row>
    <row r="24" spans="1:15" s="336" customFormat="1" ht="17.25" customHeight="1">
      <c r="A24" s="337" t="s">
        <v>105</v>
      </c>
      <c r="B24" s="334">
        <f>+'[6]รายงานงบรับ-จ่าย '!$A$10</f>
        <v>324900</v>
      </c>
      <c r="C24" s="345">
        <v>307651.6</v>
      </c>
      <c r="D24" s="350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</row>
    <row r="25" spans="1:15" s="336" customFormat="1" ht="17.25" customHeight="1">
      <c r="A25" s="337" t="s">
        <v>106</v>
      </c>
      <c r="B25" s="334">
        <f>+'[6]รายงานงบรับ-จ่าย '!$A$11</f>
        <v>258250</v>
      </c>
      <c r="C25" s="332">
        <f>+'[6]3ช่อง.'!$D$58</f>
        <v>165822.97999999998</v>
      </c>
      <c r="D25" s="350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</row>
    <row r="26" spans="1:15" s="336" customFormat="1" ht="17.25" customHeight="1">
      <c r="A26" s="337" t="s">
        <v>114</v>
      </c>
      <c r="B26" s="334">
        <v>0</v>
      </c>
      <c r="C26" s="332">
        <v>0</v>
      </c>
      <c r="D26" s="350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</row>
    <row r="27" spans="1:15" s="336" customFormat="1" ht="17.25" customHeight="1">
      <c r="A27" s="337" t="s">
        <v>107</v>
      </c>
      <c r="B27" s="334">
        <f>+'[6]รายงานงบรับ-จ่าย '!$A$13</f>
        <v>127500</v>
      </c>
      <c r="C27" s="332">
        <f>+'[6]3ช่อง.'!$D$72</f>
        <v>104828</v>
      </c>
      <c r="D27" s="350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</row>
    <row r="28" spans="1:15" s="336" customFormat="1" ht="17.25" customHeight="1">
      <c r="A28" s="337" t="s">
        <v>108</v>
      </c>
      <c r="B28" s="352">
        <f>+'[6]รายงานงบรับ-จ่าย '!$A$14</f>
        <v>31000</v>
      </c>
      <c r="C28" s="332">
        <f>+'[6]3ช่อง.'!$D$76</f>
        <v>45845</v>
      </c>
      <c r="D28" s="535" t="s">
        <v>533</v>
      </c>
      <c r="E28" s="534"/>
      <c r="F28" s="534"/>
      <c r="G28" s="534"/>
      <c r="H28" s="534" t="s">
        <v>533</v>
      </c>
      <c r="I28" s="534"/>
      <c r="J28" s="534"/>
      <c r="K28" s="359"/>
      <c r="L28" s="534" t="s">
        <v>533</v>
      </c>
      <c r="M28" s="534"/>
      <c r="N28" s="534"/>
      <c r="O28" s="351"/>
    </row>
    <row r="29" spans="1:15" s="336" customFormat="1" ht="17.25" customHeight="1">
      <c r="A29" s="337" t="s">
        <v>109</v>
      </c>
      <c r="B29" s="334">
        <f>+'[6]รายงานงบรับ-จ่าย '!$A$15</f>
        <v>18354758</v>
      </c>
      <c r="C29" s="332">
        <f>+'[6]3ช่อง.'!$D$96</f>
        <v>12150757.280000001</v>
      </c>
      <c r="D29" s="535" t="s">
        <v>534</v>
      </c>
      <c r="E29" s="534"/>
      <c r="F29" s="534"/>
      <c r="G29" s="534"/>
      <c r="H29" s="534" t="s">
        <v>535</v>
      </c>
      <c r="I29" s="534"/>
      <c r="J29" s="534"/>
      <c r="K29" s="359"/>
      <c r="L29" s="534" t="s">
        <v>536</v>
      </c>
      <c r="M29" s="534"/>
      <c r="N29" s="534"/>
      <c r="O29" s="351"/>
    </row>
    <row r="30" spans="1:15" s="336" customFormat="1" ht="17.25" customHeight="1">
      <c r="A30" s="337" t="s">
        <v>110</v>
      </c>
      <c r="B30" s="334">
        <f>+'[6]รายงานงบรับ-จ่าย '!$A$16</f>
        <v>17899454</v>
      </c>
      <c r="C30" s="332">
        <f>+'[6]3ช่อง.'!$D$103</f>
        <v>17899454.48</v>
      </c>
      <c r="D30" s="350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</row>
    <row r="31" spans="1:15" s="336" customFormat="1" ht="17.25" customHeight="1">
      <c r="A31" s="337" t="s">
        <v>186</v>
      </c>
      <c r="B31" s="352">
        <v>0</v>
      </c>
      <c r="C31" s="332">
        <v>0</v>
      </c>
      <c r="D31" s="350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</row>
    <row r="32" spans="1:15" s="336" customFormat="1" ht="17.25" customHeight="1" thickBot="1">
      <c r="A32" s="353" t="s">
        <v>111</v>
      </c>
      <c r="B32" s="343">
        <f>SUM(B23:B31)</f>
        <v>37583862</v>
      </c>
      <c r="C32" s="343">
        <f>SUM(C23:C31)</f>
        <v>31284194.090000004</v>
      </c>
      <c r="D32" s="350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</row>
    <row r="33" ht="17.25" customHeight="1" thickTop="1">
      <c r="A33" s="140"/>
    </row>
    <row r="34" ht="17.25" customHeight="1">
      <c r="A34" s="140"/>
    </row>
    <row r="35" spans="1:3" ht="17.25" customHeight="1">
      <c r="A35" s="141"/>
      <c r="C35" s="141"/>
    </row>
    <row r="36" ht="17.25" customHeight="1">
      <c r="C36" s="140"/>
    </row>
    <row r="37" ht="17.25" customHeight="1">
      <c r="C37" s="140"/>
    </row>
    <row r="38" ht="17.25" customHeight="1">
      <c r="C38" s="140"/>
    </row>
  </sheetData>
  <mergeCells count="9">
    <mergeCell ref="D29:G29"/>
    <mergeCell ref="H29:J29"/>
    <mergeCell ref="L29:N29"/>
    <mergeCell ref="A1:O1"/>
    <mergeCell ref="A2:O2"/>
    <mergeCell ref="A3:O3"/>
    <mergeCell ref="D28:G28"/>
    <mergeCell ref="H28:J28"/>
    <mergeCell ref="L28:N28"/>
  </mergeCells>
  <printOptions/>
  <pageMargins left="0.24" right="0.07874015748031496" top="0.25" bottom="0.1968503937007874" header="0.31496062992125984" footer="0.35433070866141736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6" sqref="B6"/>
    </sheetView>
  </sheetViews>
  <sheetFormatPr defaultColWidth="9.140625" defaultRowHeight="22.5" customHeight="1"/>
  <cols>
    <col min="1" max="1" width="7.00390625" style="232" customWidth="1"/>
    <col min="2" max="2" width="70.8515625" style="14" customWidth="1"/>
    <col min="3" max="3" width="20.28125" style="5" customWidth="1"/>
    <col min="4" max="4" width="13.140625" style="4" customWidth="1"/>
    <col min="5" max="5" width="11.28125" style="4" bestFit="1" customWidth="1"/>
    <col min="6" max="6" width="9.140625" style="4" customWidth="1"/>
    <col min="7" max="7" width="17.140625" style="4" customWidth="1"/>
    <col min="8" max="8" width="11.28125" style="4" bestFit="1" customWidth="1"/>
    <col min="9" max="16384" width="9.140625" style="4" customWidth="1"/>
  </cols>
  <sheetData>
    <row r="1" spans="3:10" ht="22.5" customHeight="1">
      <c r="C1" s="242" t="s">
        <v>414</v>
      </c>
      <c r="D1" s="235"/>
      <c r="E1" s="233"/>
      <c r="F1" s="233"/>
      <c r="G1" s="233"/>
      <c r="H1" s="233"/>
      <c r="I1" s="12"/>
      <c r="J1" s="12"/>
    </row>
    <row r="2" spans="1:3" ht="22.5" customHeight="1">
      <c r="A2" s="503" t="s">
        <v>153</v>
      </c>
      <c r="B2" s="503"/>
      <c r="C2" s="503"/>
    </row>
    <row r="3" spans="1:8" ht="22.5" customHeight="1">
      <c r="A3" s="503" t="s">
        <v>417</v>
      </c>
      <c r="B3" s="503"/>
      <c r="C3" s="503"/>
      <c r="H3" s="10"/>
    </row>
    <row r="4" spans="1:10" ht="22.5" customHeight="1">
      <c r="A4" s="12"/>
      <c r="B4" s="12"/>
      <c r="C4" s="12"/>
      <c r="H4" s="142"/>
      <c r="I4" s="59"/>
      <c r="J4" s="59"/>
    </row>
    <row r="5" spans="1:10" ht="22.5" customHeight="1">
      <c r="A5" s="12"/>
      <c r="B5" s="12"/>
      <c r="C5" s="243" t="s">
        <v>415</v>
      </c>
      <c r="E5" s="12"/>
      <c r="H5" s="62"/>
      <c r="I5" s="59"/>
      <c r="J5" s="59"/>
    </row>
    <row r="6" spans="1:10" ht="22.5" customHeight="1">
      <c r="A6" s="244" t="s">
        <v>416</v>
      </c>
      <c r="E6" s="234"/>
      <c r="H6" s="62"/>
      <c r="I6" s="59"/>
      <c r="J6" s="59"/>
    </row>
    <row r="7" spans="1:10" ht="22.5" customHeight="1">
      <c r="A7" s="238"/>
      <c r="B7" s="14" t="s">
        <v>365</v>
      </c>
      <c r="C7" s="5">
        <v>1499455</v>
      </c>
      <c r="H7" s="142"/>
      <c r="I7" s="59"/>
      <c r="J7" s="59"/>
    </row>
    <row r="8" spans="1:10" ht="22.5" customHeight="1">
      <c r="A8" s="238"/>
      <c r="B8" s="14" t="s">
        <v>366</v>
      </c>
      <c r="C8" s="5">
        <v>96000</v>
      </c>
      <c r="E8" s="12"/>
      <c r="H8" s="62"/>
      <c r="I8" s="59"/>
      <c r="J8" s="59"/>
    </row>
    <row r="9" spans="1:10" ht="22.5" customHeight="1">
      <c r="A9" s="238"/>
      <c r="B9" s="14" t="s">
        <v>367</v>
      </c>
      <c r="C9" s="5">
        <v>7500</v>
      </c>
      <c r="E9" s="234"/>
      <c r="H9" s="62"/>
      <c r="I9" s="59"/>
      <c r="J9" s="59"/>
    </row>
    <row r="10" spans="1:10" ht="22.5" customHeight="1">
      <c r="A10" s="238"/>
      <c r="B10" s="14" t="s">
        <v>398</v>
      </c>
      <c r="C10" s="5">
        <v>910000</v>
      </c>
      <c r="D10" s="84"/>
      <c r="E10" s="234"/>
      <c r="H10" s="62"/>
      <c r="I10" s="59"/>
      <c r="J10" s="59"/>
    </row>
    <row r="11" spans="1:10" ht="22.5" customHeight="1">
      <c r="A11" s="238"/>
      <c r="B11" s="239" t="s">
        <v>369</v>
      </c>
      <c r="C11" s="5">
        <v>8200</v>
      </c>
      <c r="E11" s="12"/>
      <c r="H11" s="70"/>
      <c r="I11" s="59"/>
      <c r="J11" s="59"/>
    </row>
    <row r="12" spans="1:10" ht="22.5" customHeight="1">
      <c r="A12" s="238"/>
      <c r="B12" s="239" t="s">
        <v>370</v>
      </c>
      <c r="C12" s="5">
        <f>1250*3</f>
        <v>3750</v>
      </c>
      <c r="E12" s="12"/>
      <c r="H12" s="70"/>
      <c r="I12" s="59"/>
      <c r="J12" s="59"/>
    </row>
    <row r="13" spans="1:10" ht="22.5" customHeight="1">
      <c r="A13" s="238"/>
      <c r="B13" s="239" t="s">
        <v>371</v>
      </c>
      <c r="C13" s="5">
        <f>1250*7</f>
        <v>8750</v>
      </c>
      <c r="E13" s="12"/>
      <c r="H13" s="70"/>
      <c r="I13" s="59"/>
      <c r="J13" s="59"/>
    </row>
    <row r="14" spans="1:10" ht="22.5" customHeight="1">
      <c r="A14" s="238"/>
      <c r="B14" s="239" t="s">
        <v>372</v>
      </c>
      <c r="C14" s="5">
        <v>14980</v>
      </c>
      <c r="D14" s="84"/>
      <c r="E14" s="12"/>
      <c r="H14" s="70"/>
      <c r="I14" s="59"/>
      <c r="J14" s="59"/>
    </row>
    <row r="15" spans="1:10" ht="22.5" customHeight="1">
      <c r="A15" s="238"/>
      <c r="B15" s="240" t="s">
        <v>373</v>
      </c>
      <c r="C15" s="5">
        <v>5992</v>
      </c>
      <c r="E15" s="12"/>
      <c r="H15" s="70"/>
      <c r="I15" s="59"/>
      <c r="J15" s="59"/>
    </row>
    <row r="16" spans="1:10" ht="22.5" customHeight="1">
      <c r="A16" s="238"/>
      <c r="B16" s="241" t="s">
        <v>374</v>
      </c>
      <c r="C16" s="5">
        <v>38000</v>
      </c>
      <c r="E16" s="12"/>
      <c r="H16" s="62"/>
      <c r="I16" s="59"/>
      <c r="J16" s="59"/>
    </row>
    <row r="17" spans="1:8" ht="22.5" customHeight="1">
      <c r="A17" s="238"/>
      <c r="B17" s="239" t="s">
        <v>375</v>
      </c>
      <c r="C17" s="5">
        <v>11973.3</v>
      </c>
      <c r="H17" s="10"/>
    </row>
    <row r="18" spans="1:8" ht="22.5" customHeight="1">
      <c r="A18" s="238"/>
      <c r="B18" s="240" t="s">
        <v>376</v>
      </c>
      <c r="C18" s="5">
        <v>68000</v>
      </c>
      <c r="H18" s="10"/>
    </row>
    <row r="19" spans="1:10" ht="22.5" customHeight="1">
      <c r="A19" s="238"/>
      <c r="B19" s="14" t="s">
        <v>377</v>
      </c>
      <c r="C19" s="5">
        <v>8988</v>
      </c>
      <c r="H19" s="59"/>
      <c r="I19" s="59"/>
      <c r="J19" s="59"/>
    </row>
    <row r="20" spans="1:10" ht="22.5" customHeight="1">
      <c r="A20" s="238"/>
      <c r="B20" s="14" t="s">
        <v>378</v>
      </c>
      <c r="C20" s="5">
        <v>11000</v>
      </c>
      <c r="H20" s="59"/>
      <c r="I20" s="59"/>
      <c r="J20" s="59"/>
    </row>
    <row r="21" spans="1:10" ht="22.5" customHeight="1">
      <c r="A21" s="238"/>
      <c r="B21" s="14" t="s">
        <v>379</v>
      </c>
      <c r="C21" s="5">
        <v>15000</v>
      </c>
      <c r="H21" s="59"/>
      <c r="I21" s="59"/>
      <c r="J21" s="59"/>
    </row>
    <row r="22" spans="1:10" ht="22.5" customHeight="1">
      <c r="A22" s="238"/>
      <c r="B22" s="14" t="s">
        <v>380</v>
      </c>
      <c r="C22" s="5">
        <v>20000</v>
      </c>
      <c r="H22" s="59"/>
      <c r="I22" s="59"/>
      <c r="J22" s="59"/>
    </row>
    <row r="23" spans="1:10" ht="22.5" customHeight="1">
      <c r="A23" s="238"/>
      <c r="B23" s="14" t="s">
        <v>381</v>
      </c>
      <c r="C23" s="5">
        <v>70000</v>
      </c>
      <c r="H23" s="142"/>
      <c r="I23" s="59"/>
      <c r="J23" s="59"/>
    </row>
    <row r="24" spans="1:10" ht="22.5" customHeight="1">
      <c r="A24" s="238"/>
      <c r="B24" s="14" t="s">
        <v>382</v>
      </c>
      <c r="C24" s="5">
        <v>32800</v>
      </c>
      <c r="H24" s="142"/>
      <c r="I24" s="59"/>
      <c r="J24" s="59"/>
    </row>
    <row r="25" spans="1:8" ht="22.5" customHeight="1">
      <c r="A25" s="238"/>
      <c r="B25" s="14" t="s">
        <v>383</v>
      </c>
      <c r="C25" s="5">
        <v>48000</v>
      </c>
      <c r="E25" s="12"/>
      <c r="H25" s="62"/>
    </row>
    <row r="26" spans="1:8" ht="22.5" customHeight="1">
      <c r="A26" s="238"/>
      <c r="B26" s="14" t="s">
        <v>384</v>
      </c>
      <c r="C26" s="5">
        <v>45000</v>
      </c>
      <c r="H26" s="10"/>
    </row>
    <row r="27" spans="1:8" ht="22.5" customHeight="1">
      <c r="A27" s="238"/>
      <c r="B27" s="14" t="s">
        <v>413</v>
      </c>
      <c r="C27" s="5">
        <v>11000</v>
      </c>
      <c r="H27" s="10"/>
    </row>
    <row r="28" spans="1:3" ht="22.5" customHeight="1">
      <c r="A28" s="238"/>
      <c r="B28" s="14" t="s">
        <v>385</v>
      </c>
      <c r="C28" s="5">
        <v>4500</v>
      </c>
    </row>
    <row r="29" spans="1:3" ht="22.5" customHeight="1">
      <c r="A29" s="238"/>
      <c r="B29" s="14" t="s">
        <v>395</v>
      </c>
      <c r="C29" s="5">
        <v>44150</v>
      </c>
    </row>
    <row r="30" ht="22.5" customHeight="1">
      <c r="B30" s="14" t="s">
        <v>388</v>
      </c>
    </row>
    <row r="31" ht="22.5" customHeight="1">
      <c r="B31" s="14" t="s">
        <v>389</v>
      </c>
    </row>
    <row r="32" ht="22.5" customHeight="1">
      <c r="B32" s="14" t="s">
        <v>390</v>
      </c>
    </row>
    <row r="33" ht="22.5" customHeight="1">
      <c r="B33" s="14" t="s">
        <v>391</v>
      </c>
    </row>
    <row r="34" ht="22.5" customHeight="1">
      <c r="B34" s="14" t="s">
        <v>392</v>
      </c>
    </row>
    <row r="35" ht="22.5" customHeight="1">
      <c r="B35" s="14" t="s">
        <v>393</v>
      </c>
    </row>
    <row r="36" ht="22.5" customHeight="1">
      <c r="B36" s="14" t="s">
        <v>394</v>
      </c>
    </row>
    <row r="37" spans="1:3" ht="22.5" customHeight="1">
      <c r="A37" s="238"/>
      <c r="B37" s="14" t="s">
        <v>396</v>
      </c>
      <c r="C37" s="5">
        <v>8400</v>
      </c>
    </row>
    <row r="38" spans="1:6" ht="22.5" customHeight="1">
      <c r="A38" s="238"/>
      <c r="B38" s="14" t="s">
        <v>397</v>
      </c>
      <c r="C38" s="5">
        <v>20830</v>
      </c>
      <c r="F38" s="4">
        <f>22000+39113-62000</f>
        <v>-887</v>
      </c>
    </row>
    <row r="39" spans="1:3" ht="22.5" customHeight="1">
      <c r="A39" s="238"/>
      <c r="B39" s="14" t="s">
        <v>399</v>
      </c>
      <c r="C39" s="5">
        <v>1538018</v>
      </c>
    </row>
    <row r="40" spans="1:3" ht="22.5" customHeight="1">
      <c r="A40" s="238"/>
      <c r="B40" s="14" t="s">
        <v>400</v>
      </c>
      <c r="C40" s="5">
        <v>871000</v>
      </c>
    </row>
    <row r="41" spans="1:4" ht="22.5" customHeight="1" thickBot="1">
      <c r="A41" s="238"/>
      <c r="B41" s="81" t="s">
        <v>11</v>
      </c>
      <c r="C41" s="245">
        <f>SUM(C7:C40)</f>
        <v>5421286.3</v>
      </c>
      <c r="D41" s="5"/>
    </row>
    <row r="42" ht="22.5" customHeight="1" thickTop="1"/>
  </sheetData>
  <mergeCells count="2">
    <mergeCell ref="A2:C2"/>
    <mergeCell ref="A3:C3"/>
  </mergeCells>
  <printOptions/>
  <pageMargins left="0.71" right="0.25" top="0.62" bottom="0.55" header="0.3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2"/>
  <sheetViews>
    <sheetView workbookViewId="0" topLeftCell="A1">
      <selection activeCell="I29" sqref="I29"/>
    </sheetView>
  </sheetViews>
  <sheetFormatPr defaultColWidth="9.140625" defaultRowHeight="21.75"/>
  <cols>
    <col min="1" max="1" width="52.7109375" style="448" customWidth="1"/>
    <col min="2" max="2" width="10.7109375" style="459" customWidth="1"/>
    <col min="3" max="3" width="14.7109375" style="448" customWidth="1"/>
    <col min="4" max="4" width="4.7109375" style="448" customWidth="1"/>
    <col min="5" max="5" width="14.7109375" style="448" customWidth="1"/>
    <col min="6" max="6" width="4.7109375" style="459" customWidth="1"/>
    <col min="7" max="16384" width="9.140625" style="448" customWidth="1"/>
  </cols>
  <sheetData>
    <row r="1" spans="1:6" ht="21.75">
      <c r="A1" s="473" t="s">
        <v>537</v>
      </c>
      <c r="B1" s="473"/>
      <c r="C1" s="473"/>
      <c r="D1" s="473"/>
      <c r="E1" s="473"/>
      <c r="F1" s="473"/>
    </row>
    <row r="2" spans="1:6" ht="21.75">
      <c r="A2" s="473" t="s">
        <v>631</v>
      </c>
      <c r="B2" s="473"/>
      <c r="C2" s="473"/>
      <c r="D2" s="473"/>
      <c r="E2" s="473"/>
      <c r="F2" s="473"/>
    </row>
    <row r="3" spans="1:6" ht="21.75">
      <c r="A3" s="474" t="s">
        <v>633</v>
      </c>
      <c r="B3" s="474"/>
      <c r="C3" s="474"/>
      <c r="D3" s="474"/>
      <c r="E3" s="474"/>
      <c r="F3" s="474"/>
    </row>
    <row r="4" spans="1:42" ht="17.25" customHeight="1">
      <c r="A4" s="475"/>
      <c r="B4" s="475"/>
      <c r="C4" s="475"/>
      <c r="D4" s="475"/>
      <c r="E4" s="475"/>
      <c r="F4" s="475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</row>
    <row r="5" spans="1:42" ht="23.25" customHeight="1">
      <c r="A5" s="492" t="s">
        <v>21</v>
      </c>
      <c r="B5" s="494" t="s">
        <v>606</v>
      </c>
      <c r="C5" s="496" t="s">
        <v>607</v>
      </c>
      <c r="D5" s="470"/>
      <c r="E5" s="496" t="s">
        <v>608</v>
      </c>
      <c r="F5" s="470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</row>
    <row r="6" spans="1:42" ht="21.75">
      <c r="A6" s="493"/>
      <c r="B6" s="495"/>
      <c r="C6" s="471"/>
      <c r="D6" s="472"/>
      <c r="E6" s="471"/>
      <c r="F6" s="472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</row>
    <row r="7" spans="1:6" ht="21.75">
      <c r="A7" s="450" t="s">
        <v>595</v>
      </c>
      <c r="B7" s="451" t="s">
        <v>609</v>
      </c>
      <c r="C7" s="452">
        <v>0</v>
      </c>
      <c r="D7" s="453" t="s">
        <v>5</v>
      </c>
      <c r="E7" s="452"/>
      <c r="F7" s="454"/>
    </row>
    <row r="8" spans="1:6" ht="21.75">
      <c r="A8" s="450" t="s">
        <v>610</v>
      </c>
      <c r="B8" s="451" t="s">
        <v>611</v>
      </c>
      <c r="C8" s="452">
        <v>2888237</v>
      </c>
      <c r="D8" s="453" t="s">
        <v>648</v>
      </c>
      <c r="E8" s="452"/>
      <c r="F8" s="454"/>
    </row>
    <row r="9" spans="1:6" ht="21.75">
      <c r="A9" s="450" t="s">
        <v>610</v>
      </c>
      <c r="B9" s="451" t="s">
        <v>611</v>
      </c>
      <c r="C9" s="452">
        <v>43189</v>
      </c>
      <c r="D9" s="453" t="s">
        <v>668</v>
      </c>
      <c r="E9" s="452"/>
      <c r="F9" s="454"/>
    </row>
    <row r="10" spans="1:6" ht="21.75">
      <c r="A10" s="450" t="s">
        <v>612</v>
      </c>
      <c r="B10" s="451" t="s">
        <v>613</v>
      </c>
      <c r="C10" s="452">
        <v>8087</v>
      </c>
      <c r="D10" s="453" t="s">
        <v>634</v>
      </c>
      <c r="E10" s="452"/>
      <c r="F10" s="454"/>
    </row>
    <row r="11" spans="1:6" ht="21.75">
      <c r="A11" s="450" t="s">
        <v>612</v>
      </c>
      <c r="B11" s="451" t="s">
        <v>613</v>
      </c>
      <c r="C11" s="452">
        <v>4016027</v>
      </c>
      <c r="D11" s="453" t="s">
        <v>614</v>
      </c>
      <c r="E11" s="452"/>
      <c r="F11" s="454"/>
    </row>
    <row r="12" spans="1:6" ht="21.75">
      <c r="A12" s="450" t="s">
        <v>615</v>
      </c>
      <c r="B12" s="451" t="s">
        <v>616</v>
      </c>
      <c r="C12" s="452">
        <v>2975329</v>
      </c>
      <c r="D12" s="453" t="s">
        <v>652</v>
      </c>
      <c r="E12" s="452"/>
      <c r="F12" s="454"/>
    </row>
    <row r="13" spans="1:6" ht="21.75">
      <c r="A13" s="450" t="s">
        <v>617</v>
      </c>
      <c r="B13" s="451" t="s">
        <v>613</v>
      </c>
      <c r="C13" s="452">
        <v>1149164</v>
      </c>
      <c r="D13" s="453" t="s">
        <v>636</v>
      </c>
      <c r="E13" s="452"/>
      <c r="F13" s="454"/>
    </row>
    <row r="14" spans="1:6" ht="21.75">
      <c r="A14" s="450" t="s">
        <v>618</v>
      </c>
      <c r="B14" s="451" t="s">
        <v>613</v>
      </c>
      <c r="C14" s="452">
        <v>750177</v>
      </c>
      <c r="D14" s="453" t="s">
        <v>637</v>
      </c>
      <c r="E14" s="452"/>
      <c r="F14" s="454"/>
    </row>
    <row r="15" spans="1:6" ht="21.75">
      <c r="A15" s="450" t="s">
        <v>619</v>
      </c>
      <c r="B15" s="451" t="s">
        <v>620</v>
      </c>
      <c r="C15" s="452">
        <v>237112</v>
      </c>
      <c r="D15" s="453" t="s">
        <v>638</v>
      </c>
      <c r="E15" s="452"/>
      <c r="F15" s="454"/>
    </row>
    <row r="16" spans="1:6" ht="21.75">
      <c r="A16" s="450" t="s">
        <v>621</v>
      </c>
      <c r="B16" s="451" t="s">
        <v>613</v>
      </c>
      <c r="C16" s="452">
        <v>0</v>
      </c>
      <c r="D16" s="453" t="s">
        <v>5</v>
      </c>
      <c r="E16" s="452"/>
      <c r="F16" s="454"/>
    </row>
    <row r="17" spans="1:6" ht="21.75">
      <c r="A17" s="450" t="s">
        <v>605</v>
      </c>
      <c r="B17" s="451" t="s">
        <v>620</v>
      </c>
      <c r="C17" s="452">
        <v>1000000</v>
      </c>
      <c r="D17" s="453" t="s">
        <v>5</v>
      </c>
      <c r="E17" s="452"/>
      <c r="F17" s="454"/>
    </row>
    <row r="18" spans="1:6" ht="21.75">
      <c r="A18" s="450" t="s">
        <v>655</v>
      </c>
      <c r="B18" s="451"/>
      <c r="C18" s="452">
        <v>12150000</v>
      </c>
      <c r="D18" s="453" t="s">
        <v>5</v>
      </c>
      <c r="E18" s="452"/>
      <c r="F18" s="454"/>
    </row>
    <row r="19" spans="1:6" ht="21.75">
      <c r="A19" s="450" t="s">
        <v>655</v>
      </c>
      <c r="B19" s="451" t="s">
        <v>622</v>
      </c>
      <c r="C19" s="452">
        <v>14245000</v>
      </c>
      <c r="D19" s="453" t="s">
        <v>5</v>
      </c>
      <c r="E19" s="452"/>
      <c r="F19" s="454"/>
    </row>
    <row r="20" spans="1:6" ht="21.75">
      <c r="A20" s="450" t="s">
        <v>653</v>
      </c>
      <c r="B20" s="451"/>
      <c r="C20" s="452">
        <v>23500</v>
      </c>
      <c r="D20" s="453" t="s">
        <v>5</v>
      </c>
      <c r="E20" s="452"/>
      <c r="F20" s="454"/>
    </row>
    <row r="21" spans="1:6" ht="21.75">
      <c r="A21" s="450"/>
      <c r="B21" s="451"/>
      <c r="C21" s="452"/>
      <c r="D21" s="453"/>
      <c r="E21" s="452"/>
      <c r="F21" s="454"/>
    </row>
    <row r="22" spans="1:6" ht="21.75">
      <c r="A22" s="450" t="s">
        <v>654</v>
      </c>
      <c r="B22" s="451"/>
      <c r="C22" s="452"/>
      <c r="D22" s="453"/>
      <c r="E22" s="452">
        <v>26395000</v>
      </c>
      <c r="F22" s="454" t="s">
        <v>5</v>
      </c>
    </row>
    <row r="23" spans="1:6" ht="21.75">
      <c r="A23" s="450" t="s">
        <v>658</v>
      </c>
      <c r="B23" s="451"/>
      <c r="C23" s="452"/>
      <c r="D23" s="453"/>
      <c r="E23" s="452">
        <v>109500</v>
      </c>
      <c r="F23" s="454" t="s">
        <v>5</v>
      </c>
    </row>
    <row r="24" spans="1:6" ht="21.75">
      <c r="A24" s="450" t="s">
        <v>623</v>
      </c>
      <c r="B24" s="451" t="s">
        <v>624</v>
      </c>
      <c r="C24" s="452"/>
      <c r="D24" s="453"/>
      <c r="E24" s="452">
        <v>5939834</v>
      </c>
      <c r="F24" s="454" t="s">
        <v>683</v>
      </c>
    </row>
    <row r="25" spans="1:6" ht="21.75">
      <c r="A25" s="450" t="s">
        <v>625</v>
      </c>
      <c r="B25" s="451" t="s">
        <v>626</v>
      </c>
      <c r="C25" s="452"/>
      <c r="D25" s="453"/>
      <c r="E25" s="452">
        <v>4807006</v>
      </c>
      <c r="F25" s="454" t="s">
        <v>684</v>
      </c>
    </row>
    <row r="26" spans="1:6" ht="21.75">
      <c r="A26" s="450" t="s">
        <v>627</v>
      </c>
      <c r="B26" s="455" t="s">
        <v>628</v>
      </c>
      <c r="C26" s="456"/>
      <c r="D26" s="453"/>
      <c r="E26" s="452">
        <v>0</v>
      </c>
      <c r="F26" s="454" t="s">
        <v>5</v>
      </c>
    </row>
    <row r="27" spans="1:6" ht="21.75">
      <c r="A27" s="450" t="s">
        <v>629</v>
      </c>
      <c r="B27" s="455" t="s">
        <v>630</v>
      </c>
      <c r="C27" s="452"/>
      <c r="D27" s="453"/>
      <c r="E27" s="452">
        <v>2234485</v>
      </c>
      <c r="F27" s="454" t="s">
        <v>685</v>
      </c>
    </row>
    <row r="28" spans="1:6" ht="21.75">
      <c r="A28" s="450"/>
      <c r="B28" s="455"/>
      <c r="C28" s="452"/>
      <c r="D28" s="453"/>
      <c r="E28" s="452"/>
      <c r="F28" s="454"/>
    </row>
    <row r="29" spans="1:6" ht="21.75">
      <c r="A29" s="450"/>
      <c r="B29" s="455"/>
      <c r="C29" s="452"/>
      <c r="D29" s="453"/>
      <c r="E29" s="452"/>
      <c r="F29" s="454"/>
    </row>
    <row r="30" spans="1:6" ht="22.5" thickBot="1">
      <c r="A30" s="450"/>
      <c r="B30" s="455"/>
      <c r="C30" s="457">
        <v>39485826</v>
      </c>
      <c r="D30" s="458" t="s">
        <v>677</v>
      </c>
      <c r="E30" s="457">
        <v>39485826</v>
      </c>
      <c r="F30" s="458" t="s">
        <v>677</v>
      </c>
    </row>
    <row r="31" spans="1:4" ht="22.5" thickTop="1">
      <c r="A31" s="459"/>
      <c r="D31" s="459"/>
    </row>
    <row r="32" spans="1:4" ht="21.75">
      <c r="A32" s="459"/>
      <c r="D32" s="459"/>
    </row>
    <row r="33" ht="24" customHeight="1"/>
  </sheetData>
  <mergeCells count="8">
    <mergeCell ref="A1:F1"/>
    <mergeCell ref="A2:F2"/>
    <mergeCell ref="A3:F3"/>
    <mergeCell ref="A4:F4"/>
    <mergeCell ref="A5:A6"/>
    <mergeCell ref="B5:B6"/>
    <mergeCell ref="C5:D6"/>
    <mergeCell ref="E5:F6"/>
  </mergeCells>
  <printOptions horizontalCentered="1"/>
  <pageMargins left="0.5905511811023623" right="0.1968503937007874" top="0.62" bottom="0.17" header="0.63" footer="0.196850393700787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4">
      <selection activeCell="B1" sqref="A1:C27"/>
    </sheetView>
  </sheetViews>
  <sheetFormatPr defaultColWidth="9.140625" defaultRowHeight="22.5" customHeight="1"/>
  <cols>
    <col min="1" max="1" width="7.00390625" style="232" customWidth="1"/>
    <col min="2" max="2" width="70.8515625" style="14" customWidth="1"/>
    <col min="3" max="3" width="20.28125" style="5" customWidth="1"/>
    <col min="4" max="4" width="13.140625" style="4" customWidth="1"/>
    <col min="5" max="5" width="11.28125" style="4" bestFit="1" customWidth="1"/>
    <col min="6" max="6" width="9.140625" style="4" customWidth="1"/>
    <col min="7" max="7" width="17.140625" style="4" customWidth="1"/>
    <col min="8" max="8" width="11.28125" style="4" bestFit="1" customWidth="1"/>
    <col min="9" max="16384" width="9.140625" style="4" customWidth="1"/>
  </cols>
  <sheetData>
    <row r="1" spans="3:10" ht="22.5" customHeight="1">
      <c r="C1" s="242" t="s">
        <v>418</v>
      </c>
      <c r="D1" s="235"/>
      <c r="E1" s="233"/>
      <c r="F1" s="233"/>
      <c r="G1" s="233"/>
      <c r="H1" s="233"/>
      <c r="I1" s="12"/>
      <c r="J1" s="12"/>
    </row>
    <row r="2" spans="1:3" ht="22.5" customHeight="1">
      <c r="A2" s="503" t="s">
        <v>153</v>
      </c>
      <c r="B2" s="503"/>
      <c r="C2" s="503"/>
    </row>
    <row r="3" spans="1:8" ht="22.5" customHeight="1">
      <c r="A3" s="503" t="s">
        <v>417</v>
      </c>
      <c r="B3" s="503"/>
      <c r="C3" s="503"/>
      <c r="H3" s="10"/>
    </row>
    <row r="4" spans="1:8" ht="22.5" customHeight="1">
      <c r="A4" s="12"/>
      <c r="B4" s="12"/>
      <c r="C4" s="246" t="s">
        <v>415</v>
      </c>
      <c r="H4" s="10"/>
    </row>
    <row r="5" spans="1:3" ht="22.5" customHeight="1">
      <c r="A5" s="244" t="s">
        <v>419</v>
      </c>
      <c r="B5" s="81"/>
      <c r="C5" s="237"/>
    </row>
    <row r="6" spans="1:3" ht="22.5" customHeight="1">
      <c r="A6" s="238"/>
      <c r="B6" s="14" t="s">
        <v>368</v>
      </c>
      <c r="C6" s="5">
        <v>149000</v>
      </c>
    </row>
    <row r="7" spans="1:3" ht="22.5" customHeight="1">
      <c r="A7" s="238"/>
      <c r="B7" s="14" t="s">
        <v>386</v>
      </c>
      <c r="C7" s="5">
        <v>58000</v>
      </c>
    </row>
    <row r="8" spans="1:3" ht="22.5" customHeight="1">
      <c r="A8" s="238"/>
      <c r="B8" s="14" t="s">
        <v>387</v>
      </c>
      <c r="C8" s="5">
        <v>38200</v>
      </c>
    </row>
    <row r="9" spans="1:3" ht="22.5" customHeight="1">
      <c r="A9" s="238"/>
      <c r="B9" s="14" t="s">
        <v>401</v>
      </c>
      <c r="C9" s="5">
        <v>150000</v>
      </c>
    </row>
    <row r="10" spans="1:3" ht="22.5" customHeight="1">
      <c r="A10" s="238"/>
      <c r="B10" s="14" t="s">
        <v>403</v>
      </c>
      <c r="C10" s="5">
        <v>712000</v>
      </c>
    </row>
    <row r="11" spans="1:3" ht="22.5" customHeight="1">
      <c r="A11" s="238"/>
      <c r="B11" s="14" t="s">
        <v>402</v>
      </c>
      <c r="C11" s="5">
        <v>367000</v>
      </c>
    </row>
    <row r="12" spans="1:3" ht="22.5" customHeight="1">
      <c r="A12" s="238"/>
      <c r="B12" s="14" t="s">
        <v>404</v>
      </c>
      <c r="C12" s="5">
        <v>181000</v>
      </c>
    </row>
    <row r="13" spans="1:4" ht="22.5" customHeight="1" thickBot="1">
      <c r="A13" s="238"/>
      <c r="B13" s="81" t="s">
        <v>11</v>
      </c>
      <c r="C13" s="247">
        <f>SUM(C6:C12)</f>
        <v>1655200</v>
      </c>
      <c r="D13" s="5">
        <v>1655200</v>
      </c>
    </row>
    <row r="14" spans="1:4" ht="22.5" customHeight="1" thickTop="1">
      <c r="A14" s="238"/>
      <c r="B14" s="81"/>
      <c r="C14" s="248"/>
      <c r="D14" s="5"/>
    </row>
    <row r="15" ht="22.5" customHeight="1">
      <c r="A15" s="244" t="s">
        <v>420</v>
      </c>
    </row>
    <row r="16" spans="1:3" s="236" customFormat="1" ht="22.5" customHeight="1">
      <c r="A16" s="238"/>
      <c r="B16" s="14" t="s">
        <v>405</v>
      </c>
      <c r="C16" s="5">
        <v>87885</v>
      </c>
    </row>
    <row r="17" spans="1:3" s="236" customFormat="1" ht="22.5" customHeight="1">
      <c r="A17" s="238"/>
      <c r="B17" s="14" t="s">
        <v>406</v>
      </c>
      <c r="C17" s="5">
        <v>700000</v>
      </c>
    </row>
    <row r="18" spans="1:3" s="236" customFormat="1" ht="22.5" customHeight="1">
      <c r="A18" s="238"/>
      <c r="B18" s="14" t="s">
        <v>407</v>
      </c>
      <c r="C18" s="5">
        <v>760000</v>
      </c>
    </row>
    <row r="19" spans="1:3" s="236" customFormat="1" ht="22.5" customHeight="1">
      <c r="A19" s="238"/>
      <c r="B19" s="14" t="s">
        <v>408</v>
      </c>
      <c r="C19" s="5">
        <v>191000</v>
      </c>
    </row>
    <row r="20" spans="1:3" s="236" customFormat="1" ht="22.5" customHeight="1">
      <c r="A20" s="238"/>
      <c r="B20" s="14" t="s">
        <v>409</v>
      </c>
      <c r="C20" s="5">
        <v>222000</v>
      </c>
    </row>
    <row r="21" spans="1:3" s="236" customFormat="1" ht="22.5" customHeight="1">
      <c r="A21" s="238"/>
      <c r="B21" s="14" t="s">
        <v>410</v>
      </c>
      <c r="C21" s="5">
        <v>236000</v>
      </c>
    </row>
    <row r="22" spans="1:3" s="236" customFormat="1" ht="22.5" customHeight="1">
      <c r="A22" s="238"/>
      <c r="B22" s="14" t="s">
        <v>411</v>
      </c>
      <c r="C22" s="5">
        <v>149000</v>
      </c>
    </row>
    <row r="23" spans="1:3" s="236" customFormat="1" ht="22.5" customHeight="1">
      <c r="A23" s="238"/>
      <c r="B23" s="14" t="s">
        <v>412</v>
      </c>
      <c r="C23" s="5">
        <v>100000</v>
      </c>
    </row>
    <row r="24" spans="2:4" s="232" customFormat="1" ht="22.5" customHeight="1" thickBot="1">
      <c r="B24" s="81" t="s">
        <v>11</v>
      </c>
      <c r="C24" s="249">
        <f>SUM(C16:C23)</f>
        <v>2445885</v>
      </c>
      <c r="D24" s="84"/>
    </row>
    <row r="25" spans="2:3" ht="22.5" customHeight="1" thickBot="1" thickTop="1">
      <c r="B25" s="81" t="s">
        <v>421</v>
      </c>
      <c r="C25" s="250">
        <f>+C13+C24</f>
        <v>4101085</v>
      </c>
    </row>
    <row r="26" spans="2:4" ht="22.5" customHeight="1" thickTop="1">
      <c r="B26" s="81"/>
      <c r="C26" s="237"/>
      <c r="D26" s="84"/>
    </row>
    <row r="27" ht="22.5" customHeight="1">
      <c r="D27" s="5"/>
    </row>
    <row r="28" ht="22.5" customHeight="1">
      <c r="B28" s="239">
        <f>+C25+'หมายเหตุ 1'!C41</f>
        <v>9522371.3</v>
      </c>
    </row>
    <row r="29" ht="22.5" customHeight="1">
      <c r="B29" s="239"/>
    </row>
    <row r="30" ht="22.5" customHeight="1">
      <c r="B30" s="239"/>
    </row>
  </sheetData>
  <mergeCells count="2">
    <mergeCell ref="A2:C2"/>
    <mergeCell ref="A3:C3"/>
  </mergeCells>
  <printOptions/>
  <pageMargins left="0.71" right="0.25" top="0.62" bottom="0.55" header="0.35" footer="0.2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21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14" sqref="H14:I14"/>
    </sheetView>
  </sheetViews>
  <sheetFormatPr defaultColWidth="9.140625" defaultRowHeight="24.75" customHeight="1"/>
  <cols>
    <col min="1" max="1" width="20.00390625" style="366" customWidth="1"/>
    <col min="2" max="2" width="1.7109375" style="366" customWidth="1"/>
    <col min="3" max="6" width="9.140625" style="366" customWidth="1"/>
    <col min="7" max="7" width="4.140625" style="366" customWidth="1"/>
    <col min="8" max="8" width="13.8515625" style="367" bestFit="1" customWidth="1"/>
    <col min="9" max="16384" width="9.140625" style="366" customWidth="1"/>
  </cols>
  <sheetData>
    <row r="1" spans="8:9" ht="24.75" customHeight="1">
      <c r="H1" s="464"/>
      <c r="I1" s="464"/>
    </row>
    <row r="2" spans="1:9" ht="24.75" customHeight="1">
      <c r="A2" s="481" t="s">
        <v>537</v>
      </c>
      <c r="B2" s="481"/>
      <c r="C2" s="481"/>
      <c r="D2" s="481"/>
      <c r="E2" s="481"/>
      <c r="F2" s="481"/>
      <c r="G2" s="481"/>
      <c r="H2" s="481"/>
      <c r="I2" s="481"/>
    </row>
    <row r="3" spans="1:9" ht="24.75" customHeight="1">
      <c r="A3" s="465" t="s">
        <v>639</v>
      </c>
      <c r="B3" s="465"/>
      <c r="C3" s="465"/>
      <c r="D3" s="465"/>
      <c r="E3" s="465"/>
      <c r="F3" s="465"/>
      <c r="G3" s="465"/>
      <c r="H3" s="465"/>
      <c r="I3" s="465"/>
    </row>
    <row r="4" spans="1:9" ht="24.75" customHeight="1">
      <c r="A4" s="446"/>
      <c r="B4" s="446"/>
      <c r="C4" s="446"/>
      <c r="D4" s="446"/>
      <c r="E4" s="446"/>
      <c r="F4" s="446"/>
      <c r="G4" s="446"/>
      <c r="I4" s="447" t="s">
        <v>415</v>
      </c>
    </row>
    <row r="5" ht="24.75" customHeight="1">
      <c r="A5" s="390" t="s">
        <v>530</v>
      </c>
    </row>
    <row r="6" spans="1:9" ht="24.75" customHeight="1">
      <c r="A6" s="390" t="s">
        <v>19</v>
      </c>
      <c r="H6" s="463">
        <v>0</v>
      </c>
      <c r="I6" s="463"/>
    </row>
    <row r="7" spans="1:9" ht="24.75" customHeight="1">
      <c r="A7" s="390" t="s">
        <v>6</v>
      </c>
      <c r="H7" s="463"/>
      <c r="I7" s="463"/>
    </row>
    <row r="8" spans="1:9" ht="24.75" customHeight="1">
      <c r="A8" s="366" t="s">
        <v>7</v>
      </c>
      <c r="C8" s="366" t="s">
        <v>550</v>
      </c>
      <c r="H8" s="463">
        <v>8087.71</v>
      </c>
      <c r="I8" s="463"/>
    </row>
    <row r="9" spans="3:9" ht="24.75" customHeight="1">
      <c r="C9" s="366" t="s">
        <v>551</v>
      </c>
      <c r="H9" s="463">
        <v>4016027.5</v>
      </c>
      <c r="I9" s="463"/>
    </row>
    <row r="10" spans="3:9" ht="24.75" customHeight="1">
      <c r="C10" s="366" t="s">
        <v>552</v>
      </c>
      <c r="H10" s="463">
        <v>2888237.18</v>
      </c>
      <c r="I10" s="463"/>
    </row>
    <row r="11" spans="3:9" ht="24.75" customHeight="1">
      <c r="C11" s="366" t="s">
        <v>678</v>
      </c>
      <c r="H11" s="463">
        <v>43189.82</v>
      </c>
      <c r="I11" s="463"/>
    </row>
    <row r="12" spans="1:9" ht="24.75" customHeight="1">
      <c r="A12" s="366" t="s">
        <v>183</v>
      </c>
      <c r="C12" s="366" t="s">
        <v>553</v>
      </c>
      <c r="H12" s="467">
        <v>2975329.72</v>
      </c>
      <c r="I12" s="467"/>
    </row>
    <row r="13" spans="3:9" ht="24.75" customHeight="1">
      <c r="C13" s="366" t="s">
        <v>554</v>
      </c>
      <c r="H13" s="467">
        <v>1149164.92</v>
      </c>
      <c r="I13" s="467"/>
    </row>
    <row r="14" spans="3:9" ht="24.75" customHeight="1">
      <c r="C14" s="366" t="s">
        <v>555</v>
      </c>
      <c r="H14" s="467">
        <v>750177.51</v>
      </c>
      <c r="I14" s="467"/>
    </row>
    <row r="15" spans="3:9" ht="24.75" customHeight="1">
      <c r="C15" s="366" t="s">
        <v>556</v>
      </c>
      <c r="H15" s="467">
        <v>237112.29</v>
      </c>
      <c r="I15" s="467"/>
    </row>
    <row r="16" spans="1:9" ht="24.75" customHeight="1">
      <c r="A16" s="366" t="s">
        <v>557</v>
      </c>
      <c r="C16" s="366" t="s">
        <v>558</v>
      </c>
      <c r="H16" s="467">
        <v>1000000</v>
      </c>
      <c r="I16" s="467"/>
    </row>
    <row r="17" spans="8:9" ht="24.75" customHeight="1">
      <c r="H17" s="374"/>
      <c r="I17" s="374"/>
    </row>
    <row r="18" spans="6:9" s="390" customFormat="1" ht="24.75" customHeight="1" thickBot="1">
      <c r="F18" s="390" t="s">
        <v>11</v>
      </c>
      <c r="H18" s="466">
        <f>SUM(H8:H17)</f>
        <v>13067326.65</v>
      </c>
      <c r="I18" s="466"/>
    </row>
    <row r="19" ht="24.75" customHeight="1" thickTop="1"/>
  </sheetData>
  <mergeCells count="15">
    <mergeCell ref="H18:I18"/>
    <mergeCell ref="H7:I7"/>
    <mergeCell ref="H8:I8"/>
    <mergeCell ref="H9:I9"/>
    <mergeCell ref="H11:I11"/>
    <mergeCell ref="H13:I13"/>
    <mergeCell ref="H14:I14"/>
    <mergeCell ref="H16:I16"/>
    <mergeCell ref="H15:I15"/>
    <mergeCell ref="H12:I12"/>
    <mergeCell ref="H10:I10"/>
    <mergeCell ref="H1:I1"/>
    <mergeCell ref="A2:I2"/>
    <mergeCell ref="A3:I3"/>
    <mergeCell ref="H6:I6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15" sqref="F15"/>
    </sheetView>
  </sheetViews>
  <sheetFormatPr defaultColWidth="9.140625" defaultRowHeight="21.75"/>
  <cols>
    <col min="1" max="1" width="12.28125" style="366" customWidth="1"/>
    <col min="2" max="2" width="9.140625" style="366" customWidth="1"/>
    <col min="3" max="3" width="6.140625" style="366" customWidth="1"/>
    <col min="4" max="4" width="22.8515625" style="366" customWidth="1"/>
    <col min="5" max="5" width="17.140625" style="366" customWidth="1"/>
    <col min="6" max="6" width="15.00390625" style="366" customWidth="1"/>
    <col min="7" max="7" width="18.140625" style="366" customWidth="1"/>
    <col min="8" max="16384" width="9.140625" style="366" customWidth="1"/>
  </cols>
  <sheetData>
    <row r="1" spans="1:7" ht="23.25">
      <c r="A1" s="481" t="s">
        <v>537</v>
      </c>
      <c r="B1" s="481"/>
      <c r="C1" s="481"/>
      <c r="D1" s="481"/>
      <c r="E1" s="481"/>
      <c r="F1" s="481"/>
      <c r="G1" s="481"/>
    </row>
    <row r="2" spans="1:7" ht="23.25">
      <c r="A2" s="481" t="s">
        <v>2</v>
      </c>
      <c r="B2" s="481"/>
      <c r="C2" s="481"/>
      <c r="D2" s="481"/>
      <c r="E2" s="481"/>
      <c r="F2" s="481"/>
      <c r="G2" s="481"/>
    </row>
    <row r="3" spans="1:7" ht="23.25">
      <c r="A3" s="481" t="s">
        <v>663</v>
      </c>
      <c r="B3" s="481"/>
      <c r="C3" s="481"/>
      <c r="D3" s="481"/>
      <c r="E3" s="481"/>
      <c r="F3" s="481"/>
      <c r="G3" s="481"/>
    </row>
    <row r="4" spans="1:7" ht="23.25">
      <c r="A4" s="479" t="s">
        <v>3</v>
      </c>
      <c r="B4" s="479"/>
      <c r="C4" s="479"/>
      <c r="D4" s="479"/>
      <c r="E4" s="479"/>
      <c r="F4" s="479"/>
      <c r="G4" s="479"/>
    </row>
    <row r="5" spans="1:7" ht="23.25">
      <c r="A5" s="424"/>
      <c r="B5" s="424"/>
      <c r="C5" s="424"/>
      <c r="D5" s="424"/>
      <c r="E5" s="424" t="s">
        <v>122</v>
      </c>
      <c r="F5" s="424"/>
      <c r="G5" s="424" t="s">
        <v>415</v>
      </c>
    </row>
    <row r="6" spans="1:7" ht="24" thickBot="1">
      <c r="A6" s="366" t="s">
        <v>424</v>
      </c>
      <c r="E6" s="423">
        <v>1</v>
      </c>
      <c r="F6" s="442"/>
      <c r="G6" s="443"/>
    </row>
    <row r="7" spans="1:7" ht="24" thickTop="1">
      <c r="A7" s="366" t="s">
        <v>425</v>
      </c>
      <c r="E7" s="423">
        <v>2</v>
      </c>
      <c r="G7" s="367">
        <v>13067326.65</v>
      </c>
    </row>
    <row r="8" spans="1:7" ht="23.25">
      <c r="A8" s="366" t="s">
        <v>656</v>
      </c>
      <c r="E8" s="423"/>
      <c r="G8" s="367">
        <v>26395000</v>
      </c>
    </row>
    <row r="9" spans="1:7" ht="23.25">
      <c r="A9" s="366" t="s">
        <v>590</v>
      </c>
      <c r="E9" s="423"/>
      <c r="G9" s="367">
        <v>23500</v>
      </c>
    </row>
    <row r="10" spans="1:7" ht="23.25">
      <c r="A10" s="366" t="s">
        <v>4</v>
      </c>
      <c r="E10" s="423"/>
      <c r="G10" s="367">
        <v>0</v>
      </c>
    </row>
    <row r="11" spans="4:7" ht="24" thickBot="1">
      <c r="D11" s="481" t="s">
        <v>426</v>
      </c>
      <c r="E11" s="481"/>
      <c r="F11" s="481"/>
      <c r="G11" s="384">
        <f>SUM(G6:G10)</f>
        <v>39485826.65</v>
      </c>
    </row>
    <row r="12" ht="24" thickTop="1">
      <c r="G12" s="367"/>
    </row>
    <row r="13" spans="1:7" ht="23.25">
      <c r="A13" s="479" t="s">
        <v>18</v>
      </c>
      <c r="B13" s="479"/>
      <c r="C13" s="479"/>
      <c r="D13" s="479"/>
      <c r="E13" s="479"/>
      <c r="F13" s="479"/>
      <c r="G13" s="479"/>
    </row>
    <row r="14" spans="1:7" ht="24" thickBot="1">
      <c r="A14" s="366" t="s">
        <v>427</v>
      </c>
      <c r="E14" s="423">
        <v>1</v>
      </c>
      <c r="F14" s="442"/>
      <c r="G14" s="443">
        <f>G6</f>
        <v>0</v>
      </c>
    </row>
    <row r="15" spans="1:7" ht="24" thickTop="1">
      <c r="A15" s="366" t="s">
        <v>428</v>
      </c>
      <c r="E15" s="423">
        <v>3</v>
      </c>
      <c r="G15" s="367">
        <v>2234485.44</v>
      </c>
    </row>
    <row r="16" spans="1:7" ht="23.25">
      <c r="A16" s="366" t="s">
        <v>657</v>
      </c>
      <c r="E16" s="423">
        <v>4</v>
      </c>
      <c r="G16" s="444">
        <v>26395000</v>
      </c>
    </row>
    <row r="17" spans="1:7" ht="23.25">
      <c r="A17" s="366" t="s">
        <v>632</v>
      </c>
      <c r="E17" s="423">
        <v>4</v>
      </c>
      <c r="G17" s="444">
        <v>0</v>
      </c>
    </row>
    <row r="18" spans="1:7" ht="23.25">
      <c r="A18" s="366" t="s">
        <v>169</v>
      </c>
      <c r="E18" s="423"/>
      <c r="G18" s="367">
        <v>4807006.64</v>
      </c>
    </row>
    <row r="19" spans="1:7" ht="23.25">
      <c r="A19" s="366" t="s">
        <v>664</v>
      </c>
      <c r="E19" s="423"/>
      <c r="G19" s="367">
        <v>109500</v>
      </c>
    </row>
    <row r="20" spans="1:7" ht="23.25">
      <c r="A20" s="366" t="s">
        <v>429</v>
      </c>
      <c r="E20" s="423">
        <v>6</v>
      </c>
      <c r="G20" s="367">
        <v>5939834.57</v>
      </c>
    </row>
    <row r="21" spans="4:7" ht="24" thickBot="1">
      <c r="D21" s="481" t="s">
        <v>430</v>
      </c>
      <c r="E21" s="481"/>
      <c r="F21" s="481"/>
      <c r="G21" s="384">
        <f>SUM(G14:G20)</f>
        <v>39485826.650000006</v>
      </c>
    </row>
    <row r="22" spans="6:7" ht="24" thickTop="1">
      <c r="F22" s="380"/>
      <c r="G22" s="418"/>
    </row>
    <row r="23" spans="6:7" ht="23.25">
      <c r="F23" s="380"/>
      <c r="G23" s="418"/>
    </row>
    <row r="24" spans="1:7" ht="36" customHeight="1">
      <c r="A24" s="366" t="s">
        <v>182</v>
      </c>
      <c r="D24" s="406"/>
      <c r="E24" s="440"/>
      <c r="G24" s="418"/>
    </row>
    <row r="25" spans="4:5" ht="36" customHeight="1">
      <c r="D25" s="440"/>
      <c r="E25" s="440"/>
    </row>
    <row r="26" spans="4:5" ht="36" customHeight="1">
      <c r="D26" s="440"/>
      <c r="E26" s="440"/>
    </row>
  </sheetData>
  <mergeCells count="7">
    <mergeCell ref="D21:F21"/>
    <mergeCell ref="A13:G13"/>
    <mergeCell ref="A1:G1"/>
    <mergeCell ref="A2:G2"/>
    <mergeCell ref="A3:G3"/>
    <mergeCell ref="A4:G4"/>
    <mergeCell ref="D11:F11"/>
  </mergeCells>
  <printOptions/>
  <pageMargins left="0.65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8" sqref="C18"/>
    </sheetView>
  </sheetViews>
  <sheetFormatPr defaultColWidth="9.140625" defaultRowHeight="24.75" customHeight="1"/>
  <cols>
    <col min="1" max="1" width="11.7109375" style="366" customWidth="1"/>
    <col min="2" max="2" width="43.8515625" style="366" customWidth="1"/>
    <col min="3" max="3" width="17.140625" style="366" customWidth="1"/>
    <col min="4" max="4" width="17.28125" style="366" customWidth="1"/>
    <col min="5" max="6" width="9.140625" style="366" customWidth="1"/>
    <col min="7" max="7" width="19.8515625" style="366" customWidth="1"/>
    <col min="8" max="16384" width="9.140625" style="366" customWidth="1"/>
  </cols>
  <sheetData>
    <row r="1" ht="24.75" customHeight="1">
      <c r="D1" s="368" t="s">
        <v>433</v>
      </c>
    </row>
    <row r="2" spans="1:4" ht="24.75" customHeight="1">
      <c r="A2" s="468" t="s">
        <v>537</v>
      </c>
      <c r="B2" s="468"/>
      <c r="C2" s="468"/>
      <c r="D2" s="468"/>
    </row>
    <row r="3" spans="1:4" ht="24.75" customHeight="1">
      <c r="A3" s="468" t="s">
        <v>20</v>
      </c>
      <c r="B3" s="468"/>
      <c r="C3" s="468"/>
      <c r="D3" s="468"/>
    </row>
    <row r="4" ht="24.75" customHeight="1">
      <c r="D4" s="445" t="s">
        <v>415</v>
      </c>
    </row>
    <row r="5" spans="1:2" s="390" customFormat="1" ht="24.75" customHeight="1">
      <c r="A5" s="390" t="s">
        <v>12</v>
      </c>
      <c r="B5" s="390" t="s">
        <v>13</v>
      </c>
    </row>
    <row r="7" spans="2:4" ht="24.75" customHeight="1">
      <c r="B7" s="366" t="s">
        <v>16</v>
      </c>
      <c r="D7" s="382">
        <v>1329285</v>
      </c>
    </row>
    <row r="8" spans="2:4" ht="24.75" customHeight="1">
      <c r="B8" s="366" t="s">
        <v>17</v>
      </c>
      <c r="D8" s="367">
        <v>8552.18</v>
      </c>
    </row>
    <row r="9" spans="2:4" ht="24.75" customHeight="1">
      <c r="B9" s="366" t="s">
        <v>671</v>
      </c>
      <c r="D9" s="367">
        <v>14292.18</v>
      </c>
    </row>
    <row r="10" spans="2:4" ht="24.75" customHeight="1">
      <c r="B10" s="366" t="s">
        <v>14</v>
      </c>
      <c r="D10" s="367">
        <v>54741.16</v>
      </c>
    </row>
    <row r="11" spans="2:4" ht="24.75" customHeight="1">
      <c r="B11" s="366" t="s">
        <v>559</v>
      </c>
      <c r="D11" s="382">
        <v>732000</v>
      </c>
    </row>
    <row r="12" spans="2:4" ht="24.75" customHeight="1">
      <c r="B12" s="366" t="s">
        <v>560</v>
      </c>
      <c r="D12" s="382">
        <v>18177.51</v>
      </c>
    </row>
    <row r="13" spans="2:4" ht="24.75" customHeight="1">
      <c r="B13" s="366" t="s">
        <v>561</v>
      </c>
      <c r="D13" s="367">
        <v>32637.41</v>
      </c>
    </row>
    <row r="14" spans="2:4" ht="24.75" customHeight="1">
      <c r="B14" s="366" t="s">
        <v>679</v>
      </c>
      <c r="D14" s="382">
        <v>44800</v>
      </c>
    </row>
    <row r="15" ht="24.75" customHeight="1">
      <c r="D15" s="367"/>
    </row>
    <row r="16" spans="2:4" ht="24.75" customHeight="1" thickBot="1">
      <c r="B16" s="387" t="s">
        <v>11</v>
      </c>
      <c r="D16" s="384">
        <f>SUM(D7:D15)</f>
        <v>2234485.4399999995</v>
      </c>
    </row>
    <row r="17" ht="24.75" customHeight="1" thickTop="1"/>
  </sheetData>
  <mergeCells count="2">
    <mergeCell ref="A2:D2"/>
    <mergeCell ref="A3:D3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7">
      <selection activeCell="C20" sqref="C20"/>
    </sheetView>
  </sheetViews>
  <sheetFormatPr defaultColWidth="9.140625" defaultRowHeight="24.75" customHeight="1"/>
  <cols>
    <col min="1" max="1" width="53.421875" style="366" customWidth="1"/>
    <col min="2" max="2" width="9.00390625" style="366" customWidth="1"/>
    <col min="3" max="3" width="18.28125" style="367" customWidth="1"/>
    <col min="4" max="4" width="4.7109375" style="367" customWidth="1"/>
    <col min="5" max="5" width="15.7109375" style="366" customWidth="1"/>
    <col min="6" max="6" width="15.140625" style="366" customWidth="1"/>
    <col min="7" max="7" width="9.140625" style="366" customWidth="1"/>
    <col min="8" max="8" width="24.00390625" style="366" customWidth="1"/>
    <col min="9" max="16384" width="9.140625" style="366" customWidth="1"/>
  </cols>
  <sheetData>
    <row r="1" ht="24.75" customHeight="1">
      <c r="E1" s="368" t="s">
        <v>453</v>
      </c>
    </row>
    <row r="2" spans="1:6" ht="24.75" customHeight="1">
      <c r="A2" s="469" t="s">
        <v>537</v>
      </c>
      <c r="B2" s="469"/>
      <c r="C2" s="469"/>
      <c r="D2" s="469"/>
      <c r="E2" s="469"/>
      <c r="F2" s="370"/>
    </row>
    <row r="3" spans="1:6" ht="24.75" customHeight="1">
      <c r="A3" s="469" t="s">
        <v>9</v>
      </c>
      <c r="B3" s="469"/>
      <c r="C3" s="469"/>
      <c r="D3" s="469"/>
      <c r="E3" s="469"/>
      <c r="F3" s="370"/>
    </row>
    <row r="4" spans="1:6" ht="24.75" customHeight="1">
      <c r="A4" s="469" t="s">
        <v>649</v>
      </c>
      <c r="B4" s="469"/>
      <c r="C4" s="469"/>
      <c r="D4" s="469"/>
      <c r="E4" s="469"/>
      <c r="F4" s="370"/>
    </row>
    <row r="5" spans="1:5" ht="24.75" customHeight="1">
      <c r="A5" s="371" t="s">
        <v>10</v>
      </c>
      <c r="B5" s="371"/>
      <c r="C5" s="372"/>
      <c r="D5" s="372"/>
      <c r="E5" s="373" t="s">
        <v>415</v>
      </c>
    </row>
    <row r="6" spans="1:5" s="390" customFormat="1" ht="24.75" customHeight="1">
      <c r="A6" s="417" t="s">
        <v>665</v>
      </c>
      <c r="B6" s="422"/>
      <c r="C6" s="422"/>
      <c r="D6" s="422"/>
      <c r="E6" s="422">
        <v>5247483.07</v>
      </c>
    </row>
    <row r="7" spans="1:6" ht="24.75" customHeight="1">
      <c r="A7" s="376" t="s">
        <v>586</v>
      </c>
      <c r="B7" s="375"/>
      <c r="C7" s="374">
        <v>3979487.83</v>
      </c>
      <c r="D7" s="374"/>
      <c r="E7" s="374"/>
      <c r="F7" s="374"/>
    </row>
    <row r="8" spans="1:7" ht="24.75" customHeight="1">
      <c r="A8" s="377" t="s">
        <v>587</v>
      </c>
      <c r="B8" s="375"/>
      <c r="C8" s="378">
        <v>994871.96</v>
      </c>
      <c r="D8" s="374"/>
      <c r="E8" s="374">
        <v>2984615.87</v>
      </c>
      <c r="G8" s="366" t="s">
        <v>10</v>
      </c>
    </row>
    <row r="9" spans="1:6" ht="24.75" customHeight="1">
      <c r="A9" s="379" t="s">
        <v>454</v>
      </c>
      <c r="B9" s="375"/>
      <c r="C9" s="380"/>
      <c r="D9" s="380"/>
      <c r="E9" s="374"/>
      <c r="F9" s="380"/>
    </row>
    <row r="10" spans="1:5" ht="24.75" customHeight="1">
      <c r="A10" s="377" t="s">
        <v>672</v>
      </c>
      <c r="B10" s="372"/>
      <c r="C10" s="372"/>
      <c r="D10" s="372"/>
      <c r="E10" s="381">
        <v>2297578.37</v>
      </c>
    </row>
    <row r="11" spans="1:5" ht="24.75" customHeight="1">
      <c r="A11" s="377" t="s">
        <v>673</v>
      </c>
      <c r="B11" s="372"/>
      <c r="C11" s="372"/>
      <c r="D11" s="372"/>
      <c r="E11" s="381">
        <v>5314</v>
      </c>
    </row>
    <row r="12" spans="1:8" s="390" customFormat="1" ht="24.75" customHeight="1" thickBot="1">
      <c r="A12" s="417" t="s">
        <v>650</v>
      </c>
      <c r="B12" s="418"/>
      <c r="C12" s="418"/>
      <c r="D12" s="418"/>
      <c r="E12" s="419">
        <v>5939834.57</v>
      </c>
      <c r="F12" s="420"/>
      <c r="H12" s="421"/>
    </row>
    <row r="13" spans="1:6" ht="24.75" customHeight="1" thickTop="1">
      <c r="A13" s="371"/>
      <c r="B13" s="372" t="s">
        <v>10</v>
      </c>
      <c r="C13" s="372"/>
      <c r="D13" s="372"/>
      <c r="F13" s="382"/>
    </row>
    <row r="14" spans="1:6" ht="24.75" customHeight="1">
      <c r="A14" s="383" t="s">
        <v>651</v>
      </c>
      <c r="B14" s="372"/>
      <c r="C14" s="372"/>
      <c r="D14" s="372"/>
      <c r="F14" s="382"/>
    </row>
    <row r="15" spans="1:6" ht="24.75" customHeight="1">
      <c r="A15" s="371" t="s">
        <v>585</v>
      </c>
      <c r="B15" s="372"/>
      <c r="C15" s="372"/>
      <c r="D15" s="372"/>
      <c r="E15" s="372">
        <v>0</v>
      </c>
      <c r="F15" s="380"/>
    </row>
    <row r="16" spans="1:8" ht="24.75" customHeight="1">
      <c r="A16" s="371" t="s">
        <v>455</v>
      </c>
      <c r="B16" s="372"/>
      <c r="C16" s="372"/>
      <c r="D16" s="372"/>
      <c r="E16" s="372">
        <v>5939834.57</v>
      </c>
      <c r="H16" s="367"/>
    </row>
    <row r="17" spans="1:5" ht="24.75" customHeight="1" thickBot="1">
      <c r="A17" s="369" t="s">
        <v>11</v>
      </c>
      <c r="B17" s="372"/>
      <c r="C17" s="372"/>
      <c r="D17" s="372"/>
      <c r="E17" s="384">
        <f>SUM(E15:E16)</f>
        <v>5939834.57</v>
      </c>
    </row>
    <row r="18" spans="1:5" ht="24.75" customHeight="1" thickTop="1">
      <c r="A18" s="371"/>
      <c r="B18" s="372"/>
      <c r="C18" s="372"/>
      <c r="D18" s="372"/>
      <c r="E18" s="372"/>
    </row>
    <row r="19" spans="1:5" ht="24.75" customHeight="1">
      <c r="A19" s="385"/>
      <c r="B19" s="372"/>
      <c r="C19" s="372"/>
      <c r="D19" s="372"/>
      <c r="E19" s="372"/>
    </row>
    <row r="20" spans="1:5" ht="24.75" customHeight="1">
      <c r="A20" s="386"/>
      <c r="B20" s="372"/>
      <c r="C20" s="372"/>
      <c r="D20" s="372"/>
      <c r="E20" s="372"/>
    </row>
    <row r="21" spans="1:5" ht="24.75" customHeight="1">
      <c r="A21" s="371"/>
      <c r="B21" s="371"/>
      <c r="C21" s="372"/>
      <c r="D21" s="372"/>
      <c r="E21" s="371"/>
    </row>
  </sheetData>
  <mergeCells count="3">
    <mergeCell ref="A2:E2"/>
    <mergeCell ref="A3:E3"/>
    <mergeCell ref="A4:E4"/>
  </mergeCells>
  <printOptions horizontalCentered="1"/>
  <pageMargins left="0.3937007874015748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9" sqref="C9"/>
    </sheetView>
  </sheetViews>
  <sheetFormatPr defaultColWidth="9.140625" defaultRowHeight="24.75" customHeight="1"/>
  <cols>
    <col min="1" max="1" width="38.8515625" style="4" customWidth="1"/>
    <col min="2" max="2" width="17.00390625" style="5" customWidth="1"/>
    <col min="3" max="3" width="31.140625" style="4" customWidth="1"/>
    <col min="4" max="4" width="15.00390625" style="5" customWidth="1"/>
    <col min="5" max="16384" width="9.140625" style="4" customWidth="1"/>
  </cols>
  <sheetData>
    <row r="1" ht="24.75" customHeight="1">
      <c r="D1" s="256" t="s">
        <v>414</v>
      </c>
    </row>
    <row r="2" spans="1:4" ht="24.75" customHeight="1">
      <c r="A2" s="503" t="s">
        <v>537</v>
      </c>
      <c r="B2" s="503"/>
      <c r="C2" s="503"/>
      <c r="D2" s="503"/>
    </row>
    <row r="3" spans="1:4" ht="24.75" customHeight="1">
      <c r="A3" s="503" t="s">
        <v>128</v>
      </c>
      <c r="B3" s="503"/>
      <c r="C3" s="503"/>
      <c r="D3" s="503"/>
    </row>
    <row r="4" spans="1:4" ht="24.75" customHeight="1">
      <c r="A4" s="503" t="s">
        <v>566</v>
      </c>
      <c r="B4" s="503"/>
      <c r="C4" s="503"/>
      <c r="D4" s="503"/>
    </row>
    <row r="6" spans="1:4" s="257" customFormat="1" ht="24.75" customHeight="1">
      <c r="A6" s="501" t="s">
        <v>134</v>
      </c>
      <c r="B6" s="499" t="s">
        <v>130</v>
      </c>
      <c r="C6" s="497" t="s">
        <v>131</v>
      </c>
      <c r="D6" s="498"/>
    </row>
    <row r="7" spans="1:4" s="46" customFormat="1" ht="24.75" customHeight="1">
      <c r="A7" s="502"/>
      <c r="B7" s="500"/>
      <c r="C7" s="39" t="s">
        <v>132</v>
      </c>
      <c r="D7" s="258" t="s">
        <v>117</v>
      </c>
    </row>
    <row r="8" spans="1:4" ht="24.75" customHeight="1">
      <c r="A8" s="259" t="s">
        <v>431</v>
      </c>
      <c r="B8" s="260"/>
      <c r="C8" s="261"/>
      <c r="D8" s="260"/>
    </row>
    <row r="9" spans="1:4" ht="24.75" customHeight="1">
      <c r="A9" s="262" t="s">
        <v>422</v>
      </c>
      <c r="B9" s="263">
        <f>'สรุปงบทรัพย์สิน '!E7</f>
        <v>790000</v>
      </c>
      <c r="C9" s="13"/>
      <c r="D9" s="263"/>
    </row>
    <row r="10" spans="1:4" ht="24.75" customHeight="1">
      <c r="A10" s="262" t="s">
        <v>423</v>
      </c>
      <c r="B10" s="263">
        <f>'สรุปงบทรัพย์สิน '!E8</f>
        <v>820000</v>
      </c>
      <c r="C10" s="13" t="s">
        <v>15</v>
      </c>
      <c r="D10" s="263">
        <v>3075100</v>
      </c>
    </row>
    <row r="11" spans="1:4" ht="24.75" customHeight="1">
      <c r="A11" s="262" t="s">
        <v>538</v>
      </c>
      <c r="B11" s="263">
        <f>'สรุปงบทรัพย์สิน '!E9</f>
        <v>14300</v>
      </c>
      <c r="C11" s="13" t="s">
        <v>545</v>
      </c>
      <c r="D11" s="263">
        <v>3154622.27</v>
      </c>
    </row>
    <row r="12" spans="1:4" ht="24.75" customHeight="1">
      <c r="A12" s="262" t="s">
        <v>539</v>
      </c>
      <c r="B12" s="263">
        <f>'สรุปงบทรัพย์สิน '!E10</f>
        <v>48100</v>
      </c>
      <c r="C12" s="13" t="s">
        <v>546</v>
      </c>
      <c r="D12" s="263">
        <v>1431290</v>
      </c>
    </row>
    <row r="13" spans="1:4" ht="24.75" customHeight="1">
      <c r="A13" s="262" t="s">
        <v>540</v>
      </c>
      <c r="B13" s="263">
        <f>'สรุปงบทรัพย์สิน '!E11</f>
        <v>65000</v>
      </c>
      <c r="C13" s="13" t="s">
        <v>547</v>
      </c>
      <c r="D13" s="263">
        <v>119500</v>
      </c>
    </row>
    <row r="14" spans="1:4" ht="24.75" customHeight="1">
      <c r="A14" s="262" t="s">
        <v>541</v>
      </c>
      <c r="B14" s="263">
        <f>'สรุปงบทรัพย์สิน '!E12</f>
        <v>168000</v>
      </c>
      <c r="C14" s="13" t="s">
        <v>548</v>
      </c>
      <c r="D14" s="263">
        <v>88000</v>
      </c>
    </row>
    <row r="15" spans="1:4" ht="24.75" customHeight="1">
      <c r="A15" s="262" t="s">
        <v>542</v>
      </c>
      <c r="B15" s="263">
        <f>'สรุปงบทรัพย์สิน '!E13</f>
        <v>45700</v>
      </c>
      <c r="C15" s="13" t="s">
        <v>549</v>
      </c>
      <c r="D15" s="263">
        <v>482000</v>
      </c>
    </row>
    <row r="16" spans="1:4" ht="24.75" customHeight="1">
      <c r="A16" s="262" t="s">
        <v>543</v>
      </c>
      <c r="B16" s="263">
        <f>'สรุปงบทรัพย์สิน '!E14</f>
        <v>50000</v>
      </c>
      <c r="C16" s="13" t="s">
        <v>687</v>
      </c>
      <c r="D16" s="263">
        <v>1803000</v>
      </c>
    </row>
    <row r="17" spans="1:4" ht="24.75" customHeight="1">
      <c r="A17" s="262" t="s">
        <v>544</v>
      </c>
      <c r="B17" s="263">
        <f>'สรุปงบทรัพย์สิน '!E15</f>
        <v>95730</v>
      </c>
      <c r="C17" s="13"/>
      <c r="D17" s="263"/>
    </row>
    <row r="18" spans="1:4" ht="24.75" customHeight="1">
      <c r="A18" s="262"/>
      <c r="B18" s="263">
        <f>+'สรุปงบทรัพย์สิน '!E16</f>
        <v>0</v>
      </c>
      <c r="C18" s="13" t="s">
        <v>686</v>
      </c>
      <c r="D18" s="263"/>
    </row>
    <row r="19" spans="1:4" ht="24.75" customHeight="1">
      <c r="A19" s="264" t="s">
        <v>432</v>
      </c>
      <c r="B19" s="263">
        <f>+'สรุปงบทรัพย์สิน '!E17</f>
        <v>0</v>
      </c>
      <c r="C19" s="13"/>
      <c r="D19" s="263"/>
    </row>
    <row r="20" spans="1:4" ht="24.75" customHeight="1">
      <c r="A20" s="262" t="s">
        <v>175</v>
      </c>
      <c r="B20" s="263">
        <f>'สรุปงบทรัพย์สิน '!E18</f>
        <v>2416000</v>
      </c>
      <c r="C20" s="13"/>
      <c r="D20" s="263"/>
    </row>
    <row r="21" spans="1:4" ht="24.75" customHeight="1">
      <c r="A21" s="262" t="s">
        <v>140</v>
      </c>
      <c r="B21" s="263"/>
      <c r="D21" s="263"/>
    </row>
    <row r="22" spans="1:4" ht="24.75" customHeight="1">
      <c r="A22" s="265" t="s">
        <v>141</v>
      </c>
      <c r="B22" s="263">
        <f>'สรุปงบทรัพย์สิน '!E20</f>
        <v>0</v>
      </c>
      <c r="C22" s="13"/>
      <c r="D22" s="263"/>
    </row>
    <row r="23" spans="1:4" ht="24.75" customHeight="1">
      <c r="A23" s="265" t="s">
        <v>142</v>
      </c>
      <c r="B23" s="263">
        <f>+'สรุปงบทรัพย์สิน '!E21</f>
        <v>227000</v>
      </c>
      <c r="D23" s="263"/>
    </row>
    <row r="24" spans="1:4" ht="24.75" customHeight="1">
      <c r="A24" s="265" t="s">
        <v>143</v>
      </c>
      <c r="B24" s="263">
        <v>1815800</v>
      </c>
      <c r="C24" s="13"/>
      <c r="D24" s="263"/>
    </row>
    <row r="25" spans="1:4" s="10" customFormat="1" ht="24.75" customHeight="1">
      <c r="A25" s="265" t="s">
        <v>144</v>
      </c>
      <c r="B25" s="263">
        <v>190000</v>
      </c>
      <c r="C25" s="13"/>
      <c r="D25" s="263"/>
    </row>
    <row r="26" spans="1:4" ht="24.75" customHeight="1">
      <c r="A26" s="265" t="s">
        <v>667</v>
      </c>
      <c r="B26" s="263">
        <v>232000</v>
      </c>
      <c r="C26" s="13"/>
      <c r="D26" s="263"/>
    </row>
    <row r="27" spans="1:4" ht="24.75" customHeight="1">
      <c r="A27" s="265" t="s">
        <v>145</v>
      </c>
      <c r="B27" s="263">
        <v>253500</v>
      </c>
      <c r="C27" s="13"/>
      <c r="D27" s="263"/>
    </row>
    <row r="28" spans="1:4" ht="24.75" customHeight="1">
      <c r="A28" s="262" t="s">
        <v>146</v>
      </c>
      <c r="B28" s="263">
        <v>2922382.27</v>
      </c>
      <c r="C28" s="13"/>
      <c r="D28" s="263"/>
    </row>
    <row r="29" spans="1:4" ht="24.75" customHeight="1">
      <c r="A29" s="262" t="s">
        <v>176</v>
      </c>
      <c r="B29" s="263">
        <f>+'สรุปงบทรัพย์สิน '!E27</f>
        <v>0</v>
      </c>
      <c r="C29" s="13"/>
      <c r="D29" s="263"/>
    </row>
    <row r="30" spans="1:4" ht="24.75" customHeight="1" thickBot="1">
      <c r="A30" s="83" t="s">
        <v>11</v>
      </c>
      <c r="B30" s="266">
        <f>SUM(B9:B29)</f>
        <v>10153512.27</v>
      </c>
      <c r="C30" s="267"/>
      <c r="D30" s="266">
        <f>SUM(D10:D28)</f>
        <v>10153512.27</v>
      </c>
    </row>
    <row r="31" ht="24.75" customHeight="1" thickTop="1"/>
    <row r="32" ht="24.75" customHeight="1">
      <c r="A32" s="5"/>
    </row>
    <row r="33" ht="24.75" customHeight="1">
      <c r="A33" s="5"/>
    </row>
    <row r="34" ht="24.75" customHeight="1">
      <c r="A34" s="5"/>
    </row>
  </sheetData>
  <mergeCells count="6">
    <mergeCell ref="C6:D6"/>
    <mergeCell ref="B6:B7"/>
    <mergeCell ref="A6:A7"/>
    <mergeCell ref="A2:D2"/>
    <mergeCell ref="A3:D3"/>
    <mergeCell ref="A4:D4"/>
  </mergeCells>
  <printOptions/>
  <pageMargins left="0.59" right="0.35433070866141736" top="0.35" bottom="0.03937007874015748" header="0.67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C13">
      <selection activeCell="F29" sqref="F29"/>
    </sheetView>
  </sheetViews>
  <sheetFormatPr defaultColWidth="9.140625" defaultRowHeight="19.5" customHeight="1"/>
  <cols>
    <col min="1" max="1" width="36.140625" style="3" customWidth="1"/>
    <col min="2" max="5" width="15.7109375" style="7" customWidth="1"/>
    <col min="6" max="6" width="34.8515625" style="3" customWidth="1"/>
    <col min="7" max="7" width="15.00390625" style="7" customWidth="1"/>
    <col min="8" max="9" width="9.140625" style="3" customWidth="1"/>
    <col min="10" max="10" width="15.7109375" style="7" customWidth="1"/>
    <col min="11" max="11" width="24.28125" style="3" customWidth="1"/>
    <col min="12" max="16384" width="9.140625" style="3" customWidth="1"/>
  </cols>
  <sheetData>
    <row r="1" spans="1:7" ht="19.5" customHeight="1">
      <c r="A1" s="504" t="s">
        <v>537</v>
      </c>
      <c r="B1" s="504"/>
      <c r="C1" s="504"/>
      <c r="D1" s="504"/>
      <c r="E1" s="504"/>
      <c r="F1" s="504"/>
      <c r="G1" s="504"/>
    </row>
    <row r="2" spans="1:7" ht="19.5" customHeight="1">
      <c r="A2" s="504" t="s">
        <v>128</v>
      </c>
      <c r="B2" s="504"/>
      <c r="C2" s="504"/>
      <c r="D2" s="504"/>
      <c r="E2" s="504"/>
      <c r="F2" s="504"/>
      <c r="G2" s="504"/>
    </row>
    <row r="3" spans="1:7" ht="19.5" customHeight="1">
      <c r="A3" s="504" t="s">
        <v>649</v>
      </c>
      <c r="B3" s="504"/>
      <c r="C3" s="504"/>
      <c r="D3" s="504"/>
      <c r="E3" s="504"/>
      <c r="F3" s="504"/>
      <c r="G3" s="504"/>
    </row>
    <row r="4" ht="11.25" customHeight="1"/>
    <row r="5" spans="1:10" s="109" customFormat="1" ht="19.5" customHeight="1">
      <c r="A5" s="109" t="s">
        <v>134</v>
      </c>
      <c r="B5" s="119" t="s">
        <v>135</v>
      </c>
      <c r="C5" s="119" t="s">
        <v>136</v>
      </c>
      <c r="D5" s="119" t="s">
        <v>137</v>
      </c>
      <c r="E5" s="119" t="s">
        <v>138</v>
      </c>
      <c r="F5" s="109" t="s">
        <v>139</v>
      </c>
      <c r="G5" s="119" t="s">
        <v>117</v>
      </c>
      <c r="J5" s="119"/>
    </row>
    <row r="6" spans="1:10" s="111" customFormat="1" ht="19.5" customHeight="1">
      <c r="A6" s="110" t="s">
        <v>0</v>
      </c>
      <c r="B6" s="153"/>
      <c r="C6" s="153"/>
      <c r="D6" s="153"/>
      <c r="E6" s="153"/>
      <c r="F6" s="251"/>
      <c r="G6" s="153"/>
      <c r="J6" s="120"/>
    </row>
    <row r="7" spans="1:10" s="111" customFormat="1" ht="19.5" customHeight="1">
      <c r="A7" s="112" t="s">
        <v>422</v>
      </c>
      <c r="B7" s="154">
        <v>790000</v>
      </c>
      <c r="C7" s="154">
        <v>0</v>
      </c>
      <c r="D7" s="154">
        <v>0</v>
      </c>
      <c r="E7" s="154">
        <f>B7+C7-D7</f>
        <v>790000</v>
      </c>
      <c r="F7" s="252"/>
      <c r="G7" s="154"/>
      <c r="J7" s="120"/>
    </row>
    <row r="8" spans="1:10" s="111" customFormat="1" ht="19.5" customHeight="1">
      <c r="A8" s="112" t="s">
        <v>423</v>
      </c>
      <c r="B8" s="154">
        <v>820000</v>
      </c>
      <c r="C8" s="154">
        <v>0</v>
      </c>
      <c r="D8" s="154">
        <v>0</v>
      </c>
      <c r="E8" s="154">
        <f aca="true" t="shared" si="0" ref="E8:E27">B8+C8-D8</f>
        <v>820000</v>
      </c>
      <c r="F8" s="252" t="s">
        <v>15</v>
      </c>
      <c r="G8" s="154">
        <v>1087012</v>
      </c>
      <c r="J8" s="120">
        <f>1683000+994700+112900+207070-8200+2517980-2400-3900-7600-8400-15700-42000-20000-504600-10000-8000-4400-2800-730000-240000-24000-24000-17600-10500-18000-8000-20000-16000-3500+1175860-150000-140000-6000-16000-8400-20000-14000-31000-10800-9000-45000-18000-6800+1049600+958000+295900+841600+172900+124000+180000</f>
        <v>8088910</v>
      </c>
    </row>
    <row r="9" spans="1:10" s="111" customFormat="1" ht="19.5" customHeight="1">
      <c r="A9" s="112" t="s">
        <v>538</v>
      </c>
      <c r="B9" s="154">
        <v>14300</v>
      </c>
      <c r="C9" s="154">
        <v>0</v>
      </c>
      <c r="D9" s="154">
        <v>0</v>
      </c>
      <c r="E9" s="154">
        <f t="shared" si="0"/>
        <v>14300</v>
      </c>
      <c r="F9" s="252" t="s">
        <v>174</v>
      </c>
      <c r="G9" s="154">
        <v>5099710.27</v>
      </c>
      <c r="H9" s="111">
        <v>96</v>
      </c>
      <c r="J9" s="120">
        <f>8200+2400+3900+7600+8400+15700+42000+20000+504600+10000+8000+4400+2800+730000+240000+24000+24000+17600+10500+18000+8000+20000+16000+150000+140000+6000+16000+8400+20000+14000+31000+10800+9000+45000+18000+6800+15733</f>
        <v>2236833</v>
      </c>
    </row>
    <row r="10" spans="1:10" s="111" customFormat="1" ht="19.5" customHeight="1">
      <c r="A10" s="112" t="s">
        <v>539</v>
      </c>
      <c r="B10" s="154">
        <v>48100</v>
      </c>
      <c r="C10" s="154">
        <v>0</v>
      </c>
      <c r="D10" s="154">
        <v>0</v>
      </c>
      <c r="E10" s="154">
        <f t="shared" si="0"/>
        <v>48100</v>
      </c>
      <c r="F10" s="252" t="s">
        <v>546</v>
      </c>
      <c r="G10" s="154">
        <v>1105190</v>
      </c>
      <c r="J10" s="120"/>
    </row>
    <row r="11" spans="1:10" s="111" customFormat="1" ht="19.5" customHeight="1">
      <c r="A11" s="112" t="s">
        <v>540</v>
      </c>
      <c r="B11" s="154">
        <v>65000</v>
      </c>
      <c r="C11" s="154">
        <v>0</v>
      </c>
      <c r="D11" s="154">
        <v>0</v>
      </c>
      <c r="E11" s="154">
        <f t="shared" si="0"/>
        <v>65000</v>
      </c>
      <c r="F11" s="252" t="s">
        <v>547</v>
      </c>
      <c r="G11" s="154">
        <v>119500</v>
      </c>
      <c r="J11" s="120">
        <f>SUM(J8:J10)</f>
        <v>10325743</v>
      </c>
    </row>
    <row r="12" spans="1:10" s="111" customFormat="1" ht="19.5" customHeight="1">
      <c r="A12" s="112" t="s">
        <v>541</v>
      </c>
      <c r="B12" s="154">
        <v>168000</v>
      </c>
      <c r="C12" s="154">
        <v>0</v>
      </c>
      <c r="D12" s="154">
        <v>0</v>
      </c>
      <c r="E12" s="154">
        <f t="shared" si="0"/>
        <v>168000</v>
      </c>
      <c r="F12" s="252" t="s">
        <v>548</v>
      </c>
      <c r="G12" s="154">
        <v>88000</v>
      </c>
      <c r="J12" s="120"/>
    </row>
    <row r="13" spans="1:10" s="111" customFormat="1" ht="19.5" customHeight="1">
      <c r="A13" s="112" t="s">
        <v>542</v>
      </c>
      <c r="B13" s="154">
        <v>45700</v>
      </c>
      <c r="C13" s="154">
        <v>0</v>
      </c>
      <c r="D13" s="154">
        <v>0</v>
      </c>
      <c r="E13" s="154">
        <f t="shared" si="0"/>
        <v>45700</v>
      </c>
      <c r="F13" s="252" t="s">
        <v>549</v>
      </c>
      <c r="G13" s="154">
        <v>482000</v>
      </c>
      <c r="J13" s="120"/>
    </row>
    <row r="14" spans="1:10" s="111" customFormat="1" ht="19.5" customHeight="1">
      <c r="A14" s="112" t="s">
        <v>543</v>
      </c>
      <c r="B14" s="154">
        <v>50000</v>
      </c>
      <c r="C14" s="154">
        <v>0</v>
      </c>
      <c r="D14" s="154">
        <v>0</v>
      </c>
      <c r="E14" s="154">
        <f t="shared" si="0"/>
        <v>50000</v>
      </c>
      <c r="F14" s="252"/>
      <c r="G14" s="154"/>
      <c r="J14" s="120"/>
    </row>
    <row r="15" spans="1:10" s="111" customFormat="1" ht="19.5" customHeight="1">
      <c r="A15" s="112" t="s">
        <v>544</v>
      </c>
      <c r="B15" s="154">
        <v>95730</v>
      </c>
      <c r="C15" s="154">
        <v>0</v>
      </c>
      <c r="D15" s="154">
        <v>0</v>
      </c>
      <c r="E15" s="154">
        <f t="shared" si="0"/>
        <v>95730</v>
      </c>
      <c r="F15" s="252"/>
      <c r="G15" s="154"/>
      <c r="J15" s="120"/>
    </row>
    <row r="16" spans="1:10" s="111" customFormat="1" ht="19.5" customHeight="1">
      <c r="A16" s="112"/>
      <c r="B16" s="154"/>
      <c r="C16" s="154"/>
      <c r="D16" s="154"/>
      <c r="E16" s="154"/>
      <c r="F16" s="252"/>
      <c r="G16" s="154"/>
      <c r="J16" s="120"/>
    </row>
    <row r="17" spans="1:10" s="111" customFormat="1" ht="19.5" customHeight="1">
      <c r="A17" s="113" t="s">
        <v>1</v>
      </c>
      <c r="B17" s="154"/>
      <c r="C17" s="154"/>
      <c r="D17" s="154"/>
      <c r="E17" s="154"/>
      <c r="F17" s="252"/>
      <c r="G17" s="154"/>
      <c r="J17" s="120"/>
    </row>
    <row r="18" spans="1:10" s="111" customFormat="1" ht="19.5" customHeight="1">
      <c r="A18" s="112" t="s">
        <v>175</v>
      </c>
      <c r="B18" s="154">
        <v>2416000</v>
      </c>
      <c r="C18" s="154"/>
      <c r="D18" s="154">
        <v>0</v>
      </c>
      <c r="E18" s="154">
        <f t="shared" si="0"/>
        <v>2416000</v>
      </c>
      <c r="F18" s="252"/>
      <c r="G18" s="154"/>
      <c r="J18" s="120"/>
    </row>
    <row r="19" spans="1:10" s="111" customFormat="1" ht="19.5" customHeight="1">
      <c r="A19" s="112" t="s">
        <v>140</v>
      </c>
      <c r="B19" s="154"/>
      <c r="C19" s="154"/>
      <c r="D19" s="154"/>
      <c r="E19" s="154"/>
      <c r="G19" s="154"/>
      <c r="J19" s="120"/>
    </row>
    <row r="20" spans="1:10" s="111" customFormat="1" ht="19.5" customHeight="1">
      <c r="A20" s="114" t="s">
        <v>141</v>
      </c>
      <c r="B20" s="154">
        <v>0</v>
      </c>
      <c r="C20" s="154">
        <v>0</v>
      </c>
      <c r="D20" s="154">
        <v>0</v>
      </c>
      <c r="E20" s="154">
        <f t="shared" si="0"/>
        <v>0</v>
      </c>
      <c r="F20" s="252"/>
      <c r="G20" s="154"/>
      <c r="J20" s="120"/>
    </row>
    <row r="21" spans="1:10" s="111" customFormat="1" ht="19.5" customHeight="1">
      <c r="A21" s="114" t="s">
        <v>142</v>
      </c>
      <c r="B21" s="154">
        <v>227000</v>
      </c>
      <c r="C21" s="154">
        <v>0</v>
      </c>
      <c r="D21" s="154">
        <v>0</v>
      </c>
      <c r="E21" s="154">
        <f t="shared" si="0"/>
        <v>227000</v>
      </c>
      <c r="G21" s="154"/>
      <c r="J21" s="120"/>
    </row>
    <row r="22" spans="1:10" s="111" customFormat="1" ht="19.5" customHeight="1">
      <c r="A22" s="114" t="s">
        <v>143</v>
      </c>
      <c r="B22" s="154">
        <v>12800</v>
      </c>
      <c r="C22" s="154">
        <v>0</v>
      </c>
      <c r="D22" s="154">
        <v>0</v>
      </c>
      <c r="E22" s="154">
        <v>12800</v>
      </c>
      <c r="F22" s="252"/>
      <c r="G22" s="154"/>
      <c r="J22" s="120"/>
    </row>
    <row r="23" spans="1:10" s="115" customFormat="1" ht="19.5" customHeight="1">
      <c r="A23" s="114" t="s">
        <v>144</v>
      </c>
      <c r="B23" s="154">
        <v>96000</v>
      </c>
      <c r="C23" s="154">
        <v>0</v>
      </c>
      <c r="D23" s="154">
        <v>0</v>
      </c>
      <c r="E23" s="154">
        <f t="shared" si="0"/>
        <v>96000</v>
      </c>
      <c r="F23" s="252"/>
      <c r="G23" s="154"/>
      <c r="J23" s="121"/>
    </row>
    <row r="24" spans="1:10" s="111" customFormat="1" ht="19.5" customHeight="1">
      <c r="A24" s="114" t="s">
        <v>667</v>
      </c>
      <c r="B24" s="154">
        <v>232000</v>
      </c>
      <c r="C24" s="154">
        <v>0</v>
      </c>
      <c r="D24" s="154">
        <v>0</v>
      </c>
      <c r="E24" s="154">
        <f>B24+C24-D24</f>
        <v>232000</v>
      </c>
      <c r="F24" s="252"/>
      <c r="G24" s="154"/>
      <c r="J24" s="120"/>
    </row>
    <row r="25" spans="1:10" s="111" customFormat="1" ht="19.5" customHeight="1">
      <c r="A25" s="114" t="s">
        <v>666</v>
      </c>
      <c r="B25" s="154">
        <v>223500</v>
      </c>
      <c r="C25" s="154">
        <v>0</v>
      </c>
      <c r="D25" s="154">
        <v>0</v>
      </c>
      <c r="E25" s="154">
        <f t="shared" si="0"/>
        <v>223500</v>
      </c>
      <c r="F25" s="252"/>
      <c r="G25" s="154"/>
      <c r="J25" s="120"/>
    </row>
    <row r="26" spans="1:10" s="111" customFormat="1" ht="19.5" customHeight="1">
      <c r="A26" s="112" t="s">
        <v>146</v>
      </c>
      <c r="B26" s="154">
        <v>2526982.27</v>
      </c>
      <c r="C26" s="154">
        <v>150300</v>
      </c>
      <c r="D26" s="154">
        <v>0</v>
      </c>
      <c r="E26" s="154">
        <f t="shared" si="0"/>
        <v>2677282.27</v>
      </c>
      <c r="F26" s="252"/>
      <c r="G26" s="154"/>
      <c r="J26" s="120"/>
    </row>
    <row r="27" spans="1:10" s="111" customFormat="1" ht="19.5" customHeight="1">
      <c r="A27" s="112" t="s">
        <v>176</v>
      </c>
      <c r="B27" s="154">
        <v>0</v>
      </c>
      <c r="C27" s="154">
        <v>0</v>
      </c>
      <c r="D27" s="154">
        <v>0</v>
      </c>
      <c r="E27" s="154">
        <f t="shared" si="0"/>
        <v>0</v>
      </c>
      <c r="F27" s="252"/>
      <c r="G27" s="154"/>
      <c r="J27" s="120"/>
    </row>
    <row r="28" spans="1:10" s="111" customFormat="1" ht="19.5" customHeight="1" thickBot="1">
      <c r="A28" s="116"/>
      <c r="B28" s="155">
        <f>SUM(B7:B27)</f>
        <v>7831112.27</v>
      </c>
      <c r="C28" s="155">
        <f>SUM(C7:C27)</f>
        <v>150300</v>
      </c>
      <c r="D28" s="155">
        <f>SUM(D7:D27)</f>
        <v>0</v>
      </c>
      <c r="E28" s="155">
        <f>SUM(E7:E27)</f>
        <v>7981412.27</v>
      </c>
      <c r="F28" s="253"/>
      <c r="G28" s="155">
        <f>SUM(G8:G26)</f>
        <v>7981412.27</v>
      </c>
      <c r="J28" s="120"/>
    </row>
    <row r="29" ht="19.5" customHeight="1" thickTop="1"/>
    <row r="30" ht="19.5" customHeight="1">
      <c r="A30" s="7"/>
    </row>
    <row r="31" ht="19.5" customHeight="1">
      <c r="A31" s="7"/>
    </row>
    <row r="32" ht="19.5" customHeight="1">
      <c r="A32" s="7"/>
    </row>
  </sheetData>
  <mergeCells count="3">
    <mergeCell ref="A1:G1"/>
    <mergeCell ref="A2:G2"/>
    <mergeCell ref="A3:G3"/>
  </mergeCells>
  <printOptions/>
  <pageMargins left="0.5511811023622047" right="0.35433070866141736" top="0.07874015748031496" bottom="0.0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aoo</cp:lastModifiedBy>
  <cp:lastPrinted>2011-02-11T08:01:20Z</cp:lastPrinted>
  <dcterms:created xsi:type="dcterms:W3CDTF">2001-03-29T07:03:16Z</dcterms:created>
  <dcterms:modified xsi:type="dcterms:W3CDTF">2011-02-11T08:08:53Z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5910FE">
    <vt:lpwstr/>
  </property>
  <property fmtid="{D5CDD505-2E9C-101B-9397-08002B2CF9AE}" pid="3" name="IVIDF4682950">
    <vt:lpwstr/>
  </property>
  <property fmtid="{D5CDD505-2E9C-101B-9397-08002B2CF9AE}" pid="4" name="IVID54B17D8">
    <vt:lpwstr/>
  </property>
  <property fmtid="{D5CDD505-2E9C-101B-9397-08002B2CF9AE}" pid="5" name="IVID337611E4">
    <vt:lpwstr/>
  </property>
  <property fmtid="{D5CDD505-2E9C-101B-9397-08002B2CF9AE}" pid="6" name="IVID464E14FE">
    <vt:lpwstr/>
  </property>
  <property fmtid="{D5CDD505-2E9C-101B-9397-08002B2CF9AE}" pid="7" name="IVID1D1617F0">
    <vt:lpwstr/>
  </property>
  <property fmtid="{D5CDD505-2E9C-101B-9397-08002B2CF9AE}" pid="8" name="IVID352111F1">
    <vt:lpwstr/>
  </property>
  <property fmtid="{D5CDD505-2E9C-101B-9397-08002B2CF9AE}" pid="9" name="IVID146515F4">
    <vt:lpwstr/>
  </property>
  <property fmtid="{D5CDD505-2E9C-101B-9397-08002B2CF9AE}" pid="10" name="IVID24B6773B">
    <vt:lpwstr/>
  </property>
  <property fmtid="{D5CDD505-2E9C-101B-9397-08002B2CF9AE}" pid="11" name="IVID124B16F9">
    <vt:lpwstr/>
  </property>
  <property fmtid="{D5CDD505-2E9C-101B-9397-08002B2CF9AE}" pid="12" name="IVID372415FC">
    <vt:lpwstr/>
  </property>
  <property fmtid="{D5CDD505-2E9C-101B-9397-08002B2CF9AE}" pid="13" name="IVID2D66130A">
    <vt:lpwstr/>
  </property>
  <property fmtid="{D5CDD505-2E9C-101B-9397-08002B2CF9AE}" pid="14" name="IVID3A2D1E01">
    <vt:lpwstr/>
  </property>
  <property fmtid="{D5CDD505-2E9C-101B-9397-08002B2CF9AE}" pid="15" name="IVID195713EF">
    <vt:lpwstr/>
  </property>
  <property fmtid="{D5CDD505-2E9C-101B-9397-08002B2CF9AE}" pid="16" name="IVID14EB2E5D">
    <vt:lpwstr/>
  </property>
  <property fmtid="{D5CDD505-2E9C-101B-9397-08002B2CF9AE}" pid="17" name="IVID385912FF">
    <vt:lpwstr/>
  </property>
  <property fmtid="{D5CDD505-2E9C-101B-9397-08002B2CF9AE}" pid="18" name="IVID132F13DB">
    <vt:lpwstr/>
  </property>
  <property fmtid="{D5CDD505-2E9C-101B-9397-08002B2CF9AE}" pid="19" name="IVID232D1DED">
    <vt:lpwstr/>
  </property>
  <property fmtid="{D5CDD505-2E9C-101B-9397-08002B2CF9AE}" pid="20" name="IVID1B3C17E9">
    <vt:lpwstr/>
  </property>
  <property fmtid="{D5CDD505-2E9C-101B-9397-08002B2CF9AE}" pid="21" name="IVID8C68ED3">
    <vt:lpwstr/>
  </property>
  <property fmtid="{D5CDD505-2E9C-101B-9397-08002B2CF9AE}" pid="22" name="IVID317A17E6">
    <vt:lpwstr/>
  </property>
  <property fmtid="{D5CDD505-2E9C-101B-9397-08002B2CF9AE}" pid="23" name="IVID153E13E6">
    <vt:lpwstr/>
  </property>
  <property fmtid="{D5CDD505-2E9C-101B-9397-08002B2CF9AE}" pid="24" name="IVID40231CD7">
    <vt:lpwstr/>
  </property>
  <property fmtid="{D5CDD505-2E9C-101B-9397-08002B2CF9AE}" pid="25" name="IVIDF2114EA">
    <vt:lpwstr/>
  </property>
  <property fmtid="{D5CDD505-2E9C-101B-9397-08002B2CF9AE}" pid="26" name="IVID361410F0">
    <vt:lpwstr/>
  </property>
  <property fmtid="{D5CDD505-2E9C-101B-9397-08002B2CF9AE}" pid="27" name="IVID334F17FC">
    <vt:lpwstr/>
  </property>
  <property fmtid="{D5CDD505-2E9C-101B-9397-08002B2CF9AE}" pid="28" name="IVID153B1605">
    <vt:lpwstr/>
  </property>
  <property fmtid="{D5CDD505-2E9C-101B-9397-08002B2CF9AE}" pid="29" name="IVID1B5215E0">
    <vt:lpwstr/>
  </property>
  <property fmtid="{D5CDD505-2E9C-101B-9397-08002B2CF9AE}" pid="30" name="IVID76415F5">
    <vt:lpwstr/>
  </property>
</Properties>
</file>